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<sst xmlns="http://schemas.openxmlformats.org/spreadsheetml/2006/main" count="166" uniqueCount="119">
  <si>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</si>
  <si>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</si>
  <si>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</si>
  <si>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</si>
  <si>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</si>
  <si>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</si>
  <si>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</si>
  <si>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</si>
  <si>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</si>
  <si>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</si>
  <si>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</si>
  <si>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</si>
  <si>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</si>
  <si>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</si>
  <si>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</si>
  <si>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</si>
  <si>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</si>
  <si>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</si>
  <si>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</si>
  <si>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</si>
  <si>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</si>
  <si>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</si>
  <si>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</si>
  <si>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</si>
  <si>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</si>
  <si>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</si>
  <si>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</si>
  <si>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</si>
  <si>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</si>
  <si>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</si>
  <si>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</si>
  <si>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</si>
  <si>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</si>
  <si>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</si>
  <si>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</si>
  <si>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</si>
  <si>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</si>
  <si>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</si>
  <si>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</si>
  <si>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</si>
  <si>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</si>
  <si>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</si>
  <si>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</si>
  <si>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</si>
  <si>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</si>
  <si>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</si>
  <si>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</si>
  <si>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</si>
  <si>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</si>
  <si>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</si>
  <si>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</si>
  <si>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</si>
  <si>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</si>
  <si>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</si>
  <si>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</si>
  <si>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</si>
  <si>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</si>
  <si>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</si>
  <si>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</si>
  <si>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</si>
  <si>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</si>
  <si>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</si>
  <si>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</si>
  <si>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</si>
  <si>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</si>
  <si>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</si>
  <si>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</si>
  <si>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</si>
  <si>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</si>
  <si>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</si>
  <si>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</si>
  <si>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</si>
  <si>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</si>
  <si>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</si>
  <si>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</si>
  <si>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</si>
  <si>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</si>
  <si>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</si>
  <si>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</si>
  <si>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</si>
  <si>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</si>
  <si>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</si>
  <si>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</si>
  <si>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</si>
  <si>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</si>
  <si>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</si>
  <si>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</si>
  <si>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</si>
  <si>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</si>
  <si>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</si>
  <si>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</si>
  <si>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</si>
  <si>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</si>
  <si>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</si>
  <si>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</si>
  <si>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</si>
  <si>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</si>
  <si>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</si>
  <si>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</si>
  <si>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</si>
  <si>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</si>
  <si>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</si>
  <si>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</si>
  <si>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Реверсна дотація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</si>
  <si>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</si>
  <si>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</si>
  <si>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</si>
  <si>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</si>
  <si>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</si>
  <si>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Дорожній фонд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</si>
  <si>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</si>
  <si>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</si>
  <si>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</si>
  <si>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Субвенція державному бьюджету на виконання програм соціально-економічного та культурного розвитку регіонів</t>
  </si>
  <si>
    <t>План на 7 місяців, тис.грн.</t>
  </si>
  <si>
    <t>Відсоток виконання плану 7 місяців</t>
  </si>
  <si>
    <t>Відхилення від плану 7 місяців, тис.грн.</t>
  </si>
  <si>
    <t>Природоохоронні заходи</t>
  </si>
  <si>
    <t>Аналіз використання коштів міського бюджету за 2015 рік станом на 30.07.2015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</si>
</sst>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48771.1</c:v>
                </c:pt>
                <c:pt idx="1">
                  <c:v>39638</c:v>
                </c:pt>
                <c:pt idx="2">
                  <c:v>2575.1</c:v>
                </c:pt>
                <c:pt idx="3">
                  <c:v>6557.999999999998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25181.199999999997</c:v>
                </c:pt>
                <c:pt idx="1">
                  <c:v>21431.5</c:v>
                </c:pt>
                <c:pt idx="2">
                  <c:v>994.5999999999999</c:v>
                </c:pt>
                <c:pt idx="3">
                  <c:v>2755.099999999997</c:v>
                </c:pt>
              </c:numCache>
            </c:numRef>
          </c:val>
          <c:shape val="box"/>
        </c:ser>
        <c:shape val="box"/>
        <c:axId val="5972966"/>
        <c:axId val="53756695"/>
      </c:bar3DChart>
      <c:catAx>
        <c:axId val="5972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756695"/>
        <c:crosses val="autoZero"/>
        <c:auto val="1"/>
        <c:lblOffset val="100"/>
        <c:tickLblSkip val="1"/>
        <c:noMultiLvlLbl val="0"/>
      </c:catAx>
      <c:valAx>
        <c:axId val="537566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29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339511.6</c:v>
                </c:pt>
                <c:pt idx="1">
                  <c:v>173936.4</c:v>
                </c:pt>
                <c:pt idx="2">
                  <c:v>251964.7</c:v>
                </c:pt>
                <c:pt idx="3">
                  <c:v>45.2</c:v>
                </c:pt>
                <c:pt idx="4">
                  <c:v>22109.6</c:v>
                </c:pt>
                <c:pt idx="5">
                  <c:v>61405.899999999994</c:v>
                </c:pt>
                <c:pt idx="6">
                  <c:v>296.09999999999997</c:v>
                </c:pt>
                <c:pt idx="7">
                  <c:v>3690.0999999999754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206201.70000000004</c:v>
                </c:pt>
                <c:pt idx="1">
                  <c:v>105742.5</c:v>
                </c:pt>
                <c:pt idx="2">
                  <c:v>157431.39999999997</c:v>
                </c:pt>
                <c:pt idx="3">
                  <c:v>9</c:v>
                </c:pt>
                <c:pt idx="4">
                  <c:v>10129.699999999997</c:v>
                </c:pt>
                <c:pt idx="5">
                  <c:v>36562.20000000001</c:v>
                </c:pt>
                <c:pt idx="6">
                  <c:v>184</c:v>
                </c:pt>
                <c:pt idx="7">
                  <c:v>1885.400000000067</c:v>
                </c:pt>
              </c:numCache>
            </c:numRef>
          </c:val>
          <c:shape val="box"/>
        </c:ser>
        <c:shape val="box"/>
        <c:axId val="14048208"/>
        <c:axId val="59325009"/>
      </c:bar3DChart>
      <c:catAx>
        <c:axId val="14048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325009"/>
        <c:crosses val="autoZero"/>
        <c:auto val="1"/>
        <c:lblOffset val="100"/>
        <c:tickLblSkip val="1"/>
        <c:noMultiLvlLbl val="0"/>
      </c:catAx>
      <c:valAx>
        <c:axId val="593250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482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226686.80000000002</c:v>
                </c:pt>
                <c:pt idx="1">
                  <c:v>186519.2</c:v>
                </c:pt>
                <c:pt idx="2">
                  <c:v>169195.9</c:v>
                </c:pt>
                <c:pt idx="3">
                  <c:v>12691.4</c:v>
                </c:pt>
                <c:pt idx="4">
                  <c:v>3253.3</c:v>
                </c:pt>
                <c:pt idx="5">
                  <c:v>25194.2</c:v>
                </c:pt>
                <c:pt idx="6">
                  <c:v>1528.1</c:v>
                </c:pt>
                <c:pt idx="7">
                  <c:v>14823.900000000018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119249.99999999996</c:v>
                </c:pt>
                <c:pt idx="1">
                  <c:v>107927.10000000002</c:v>
                </c:pt>
                <c:pt idx="2">
                  <c:v>92286.59999999996</c:v>
                </c:pt>
                <c:pt idx="3">
                  <c:v>4647.7</c:v>
                </c:pt>
                <c:pt idx="4">
                  <c:v>1836.5</c:v>
                </c:pt>
                <c:pt idx="5">
                  <c:v>13137.6</c:v>
                </c:pt>
                <c:pt idx="6">
                  <c:v>773.5</c:v>
                </c:pt>
                <c:pt idx="7">
                  <c:v>6568.099999999993</c:v>
                </c:pt>
              </c:numCache>
            </c:numRef>
          </c:val>
          <c:shape val="box"/>
        </c:ser>
        <c:shape val="box"/>
        <c:axId val="64163034"/>
        <c:axId val="40596395"/>
      </c:bar3DChart>
      <c:catAx>
        <c:axId val="64163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596395"/>
        <c:crosses val="autoZero"/>
        <c:auto val="1"/>
        <c:lblOffset val="100"/>
        <c:tickLblSkip val="1"/>
        <c:noMultiLvlLbl val="0"/>
      </c:catAx>
      <c:valAx>
        <c:axId val="405963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630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42251.299999999996</c:v>
                </c:pt>
                <c:pt idx="1">
                  <c:v>29626.4</c:v>
                </c:pt>
                <c:pt idx="2">
                  <c:v>2674</c:v>
                </c:pt>
                <c:pt idx="3">
                  <c:v>515.5</c:v>
                </c:pt>
                <c:pt idx="4">
                  <c:v>47.2</c:v>
                </c:pt>
                <c:pt idx="5">
                  <c:v>9388.199999999993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25961</c:v>
                </c:pt>
                <c:pt idx="1">
                  <c:v>18866.5</c:v>
                </c:pt>
                <c:pt idx="2">
                  <c:v>1257.0000000000002</c:v>
                </c:pt>
                <c:pt idx="3">
                  <c:v>349.8</c:v>
                </c:pt>
                <c:pt idx="4">
                  <c:v>17</c:v>
                </c:pt>
                <c:pt idx="5">
                  <c:v>5470.7</c:v>
                </c:pt>
              </c:numCache>
            </c:numRef>
          </c:val>
          <c:shape val="box"/>
        </c:ser>
        <c:shape val="box"/>
        <c:axId val="29823236"/>
        <c:axId val="67082533"/>
      </c:bar3DChart>
      <c:catAx>
        <c:axId val="29823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7082533"/>
        <c:crosses val="autoZero"/>
        <c:auto val="1"/>
        <c:lblOffset val="100"/>
        <c:tickLblSkip val="1"/>
        <c:noMultiLvlLbl val="0"/>
      </c:catAx>
      <c:valAx>
        <c:axId val="670825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232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14207.7</c:v>
                </c:pt>
                <c:pt idx="1">
                  <c:v>8729.1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4493.500000000001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7625.400000000002</c:v>
                </c:pt>
                <c:pt idx="1">
                  <c:v>4853</c:v>
                </c:pt>
                <c:pt idx="3">
                  <c:v>121.10000000000002</c:v>
                </c:pt>
                <c:pt idx="4">
                  <c:v>402.5000000000001</c:v>
                </c:pt>
                <c:pt idx="5">
                  <c:v>2248.8000000000025</c:v>
                </c:pt>
              </c:numCache>
            </c:numRef>
          </c:val>
          <c:shape val="box"/>
        </c:ser>
        <c:shape val="box"/>
        <c:axId val="66871886"/>
        <c:axId val="64976063"/>
      </c:bar3DChart>
      <c:catAx>
        <c:axId val="66871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976063"/>
        <c:crosses val="autoZero"/>
        <c:auto val="1"/>
        <c:lblOffset val="100"/>
        <c:tickLblSkip val="2"/>
        <c:noMultiLvlLbl val="0"/>
      </c:catAx>
      <c:valAx>
        <c:axId val="649760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718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5525</c:v>
                </c:pt>
                <c:pt idx="1">
                  <c:v>1426.1</c:v>
                </c:pt>
                <c:pt idx="2">
                  <c:v>299.9</c:v>
                </c:pt>
                <c:pt idx="3">
                  <c:v>464.8</c:v>
                </c:pt>
                <c:pt idx="4">
                  <c:v>3128.9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1953.5999999999997</c:v>
                </c:pt>
                <c:pt idx="1">
                  <c:v>751.9999999999999</c:v>
                </c:pt>
                <c:pt idx="2">
                  <c:v>183.60000000000002</c:v>
                </c:pt>
                <c:pt idx="3">
                  <c:v>240.50000000000003</c:v>
                </c:pt>
                <c:pt idx="4">
                  <c:v>675.7</c:v>
                </c:pt>
                <c:pt idx="5">
                  <c:v>101.79999999999984</c:v>
                </c:pt>
              </c:numCache>
            </c:numRef>
          </c:val>
          <c:shape val="box"/>
        </c:ser>
        <c:shape val="box"/>
        <c:axId val="47913656"/>
        <c:axId val="28569721"/>
      </c:bar3DChart>
      <c:catAx>
        <c:axId val="47913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569721"/>
        <c:crosses val="autoZero"/>
        <c:auto val="1"/>
        <c:lblOffset val="100"/>
        <c:tickLblSkip val="1"/>
        <c:noMultiLvlLbl val="0"/>
      </c:catAx>
      <c:valAx>
        <c:axId val="285697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136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50538.3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29959.600000000006</c:v>
                </c:pt>
              </c:numCache>
            </c:numRef>
          </c:val>
          <c:shape val="box"/>
        </c:ser>
        <c:shape val="box"/>
        <c:axId val="55800898"/>
        <c:axId val="32446035"/>
      </c:bar3DChart>
      <c:catAx>
        <c:axId val="55800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446035"/>
        <c:crosses val="autoZero"/>
        <c:auto val="1"/>
        <c:lblOffset val="100"/>
        <c:tickLblSkip val="1"/>
        <c:noMultiLvlLbl val="0"/>
      </c:catAx>
      <c:valAx>
        <c:axId val="324460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008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339511.6</c:v>
                </c:pt>
                <c:pt idx="1">
                  <c:v>226686.80000000002</c:v>
                </c:pt>
                <c:pt idx="2">
                  <c:v>42251.299999999996</c:v>
                </c:pt>
                <c:pt idx="3">
                  <c:v>14207.7</c:v>
                </c:pt>
                <c:pt idx="4">
                  <c:v>5525</c:v>
                </c:pt>
                <c:pt idx="5">
                  <c:v>48771.1</c:v>
                </c:pt>
                <c:pt idx="6">
                  <c:v>50538.3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206201.70000000004</c:v>
                </c:pt>
                <c:pt idx="1">
                  <c:v>119249.99999999996</c:v>
                </c:pt>
                <c:pt idx="2">
                  <c:v>25961</c:v>
                </c:pt>
                <c:pt idx="3">
                  <c:v>7625.400000000002</c:v>
                </c:pt>
                <c:pt idx="4">
                  <c:v>1953.5999999999997</c:v>
                </c:pt>
                <c:pt idx="5">
                  <c:v>25181.199999999997</c:v>
                </c:pt>
                <c:pt idx="6">
                  <c:v>29959.600000000006</c:v>
                </c:pt>
              </c:numCache>
            </c:numRef>
          </c:val>
          <c:shape val="box"/>
        </c:ser>
        <c:shape val="box"/>
        <c:axId val="23578860"/>
        <c:axId val="10883149"/>
      </c:bar3DChart>
      <c:catAx>
        <c:axId val="23578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883149"/>
        <c:crosses val="autoZero"/>
        <c:auto val="1"/>
        <c:lblOffset val="100"/>
        <c:tickLblSkip val="1"/>
        <c:noMultiLvlLbl val="0"/>
      </c:catAx>
      <c:valAx>
        <c:axId val="108831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788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фінансування'!$C$145:$C$150</c:f>
              <c:numCache>
                <c:ptCount val="6"/>
                <c:pt idx="0">
                  <c:v>507335.6</c:v>
                </c:pt>
                <c:pt idx="1">
                  <c:v>99365.7</c:v>
                </c:pt>
                <c:pt idx="2">
                  <c:v>25986.7</c:v>
                </c:pt>
                <c:pt idx="3">
                  <c:v>14369.800000000001</c:v>
                </c:pt>
                <c:pt idx="4">
                  <c:v>12818.7</c:v>
                </c:pt>
                <c:pt idx="5">
                  <c:v>236306.1000000001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фінансування'!$D$145:$D$150</c:f>
              <c:numCache>
                <c:ptCount val="6"/>
                <c:pt idx="0">
                  <c:v>299305.69999999995</c:v>
                </c:pt>
                <c:pt idx="1">
                  <c:v>55607.50000000001</c:v>
                </c:pt>
                <c:pt idx="2">
                  <c:v>12302.599999999999</c:v>
                </c:pt>
                <c:pt idx="3">
                  <c:v>4626.1</c:v>
                </c:pt>
                <c:pt idx="4">
                  <c:v>4657.4</c:v>
                </c:pt>
                <c:pt idx="5">
                  <c:v>119049.00000000003</c:v>
                </c:pt>
              </c:numCache>
            </c:numRef>
          </c:val>
          <c:shape val="box"/>
        </c:ser>
        <c:shape val="box"/>
        <c:axId val="30839478"/>
        <c:axId val="9119847"/>
      </c:bar3DChart>
      <c:catAx>
        <c:axId val="30839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119847"/>
        <c:crosses val="autoZero"/>
        <c:auto val="1"/>
        <c:lblOffset val="100"/>
        <c:tickLblSkip val="1"/>
        <c:noMultiLvlLbl val="0"/>
      </c:catAx>
      <c:valAx>
        <c:axId val="91198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394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0"/>
  <sheetViews>
    <sheetView tabSelected="1" view="pageBreakPreview" zoomScale="80" zoomScaleNormal="75" zoomScaleSheetLayoutView="80" zoomScalePageLayoutView="0" workbookViewId="0" topLeftCell="A1">
      <pane xSplit="1" ySplit="5" topLeftCell="B6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0" sqref="B70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7" t="s">
        <v>118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1" t="s">
        <v>50</v>
      </c>
      <c r="B3" s="138" t="s">
        <v>114</v>
      </c>
      <c r="C3" s="138" t="s">
        <v>104</v>
      </c>
      <c r="D3" s="138" t="s">
        <v>29</v>
      </c>
      <c r="E3" s="138" t="s">
        <v>28</v>
      </c>
      <c r="F3" s="138" t="s">
        <v>115</v>
      </c>
      <c r="G3" s="138" t="s">
        <v>105</v>
      </c>
      <c r="H3" s="138" t="s">
        <v>116</v>
      </c>
      <c r="I3" s="138" t="s">
        <v>106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8" t="s">
        <v>34</v>
      </c>
      <c r="B6" s="52">
        <v>217874.6</v>
      </c>
      <c r="C6" s="53">
        <f>336144.8+1363.8+2002.1+0.9</f>
        <v>339511.6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+67.1+0.1+674.2+5158.9+1833.1+4304.4+712.1+23.4+96.8+246.1+4835.3+320.3+22.4</f>
        <v>206544.40000000002</v>
      </c>
      <c r="E6" s="3">
        <f>D6/D144*100</f>
        <v>40.70995513998061</v>
      </c>
      <c r="F6" s="3">
        <f>D6/B6*100</f>
        <v>94.7996691674936</v>
      </c>
      <c r="G6" s="3">
        <f aca="true" t="shared" si="0" ref="G6:G43">D6/C6*100</f>
        <v>60.83574169483459</v>
      </c>
      <c r="H6" s="3">
        <f>B6-D6</f>
        <v>11330.199999999983</v>
      </c>
      <c r="I6" s="3">
        <f aca="true" t="shared" si="1" ref="I6:I43">C6-D6</f>
        <v>132967.19999999995</v>
      </c>
    </row>
    <row r="7" spans="1:9" s="44" customFormat="1" ht="18.75">
      <c r="A7" s="118" t="s">
        <v>107</v>
      </c>
      <c r="B7" s="109">
        <v>112520.5</v>
      </c>
      <c r="C7" s="106">
        <v>173936.4</v>
      </c>
      <c r="D7" s="119">
        <f>17278.1+34.8+43.3+5046.6+1441.7+293+463.5+4876.3+308.3+631.3+5138.7+0.1+2292.2+271.4+1820.7+4384.3+517.1+3867.2+3165+1+5.9+6161.5+1598.7+8.6+1158.9+4225.2+4271.2+0.1+579.2+45.1+9037.1+10567.7+116.2+1162.3+1.2+1.3+4453.4+100.1+9.8+5157.8+1660.3+1244+391.9+96.8+1813.6+81.1+19.6</f>
        <v>105843.20000000001</v>
      </c>
      <c r="E7" s="107">
        <f>D7/D6*100</f>
        <v>51.24476867927671</v>
      </c>
      <c r="F7" s="107">
        <f>D7/B7*100</f>
        <v>94.06570358290269</v>
      </c>
      <c r="G7" s="107">
        <f>D7/C7*100</f>
        <v>60.85166762103851</v>
      </c>
      <c r="H7" s="107">
        <f>B7-D7</f>
        <v>6677.299999999988</v>
      </c>
      <c r="I7" s="107">
        <f t="shared" si="1"/>
        <v>68093.19999999998</v>
      </c>
    </row>
    <row r="8" spans="1:9" ht="18">
      <c r="A8" s="29" t="s">
        <v>3</v>
      </c>
      <c r="B8" s="49">
        <f>159121.9+43.7</f>
        <v>159165.6</v>
      </c>
      <c r="C8" s="50">
        <v>251964.7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2656.8+4544.7+5310.3+304.5+4240.2+2115.7+0.5+13.7+8260.2+9928.8+1441.7+7980.3+10682.7+0.1+0.1+1665.8+5183.3+3109.4+5382+3940+3165+1+0.1+5.9+3224.2+3872.8+9043.5+102.7+4158.8+4271.2-0.1+579.2+6936.6+16104.8+66+373.9+4553.9+9196.1+673.9+5157.8+4304.4+23.4+20.2+4835.3</f>
        <v>157431.39999999997</v>
      </c>
      <c r="E8" s="1">
        <f>D8/D6*100</f>
        <v>76.22157753974446</v>
      </c>
      <c r="F8" s="1">
        <f>D8/B8*100</f>
        <v>98.91044296003656</v>
      </c>
      <c r="G8" s="1">
        <f t="shared" si="0"/>
        <v>62.48153015085048</v>
      </c>
      <c r="H8" s="1">
        <f>B8-D8</f>
        <v>1734.2000000000407</v>
      </c>
      <c r="I8" s="1">
        <f t="shared" si="1"/>
        <v>94533.30000000005</v>
      </c>
    </row>
    <row r="9" spans="1:9" ht="18">
      <c r="A9" s="29" t="s">
        <v>2</v>
      </c>
      <c r="B9" s="49">
        <v>25.2</v>
      </c>
      <c r="C9" s="50">
        <v>45.2</v>
      </c>
      <c r="D9" s="51">
        <f>0.3+0.2+0.7+0.8+2+0.3+3.5+1.2</f>
        <v>9</v>
      </c>
      <c r="E9" s="12">
        <f>D9/D6*100</f>
        <v>0.004357416613570738</v>
      </c>
      <c r="F9" s="136">
        <f>D9/B9*100</f>
        <v>35.714285714285715</v>
      </c>
      <c r="G9" s="1">
        <f t="shared" si="0"/>
        <v>19.91150442477876</v>
      </c>
      <c r="H9" s="1">
        <f aca="true" t="shared" si="2" ref="H9:H43">B9-D9</f>
        <v>16.2</v>
      </c>
      <c r="I9" s="1">
        <f t="shared" si="1"/>
        <v>36.2</v>
      </c>
    </row>
    <row r="10" spans="1:9" ht="18">
      <c r="A10" s="29" t="s">
        <v>1</v>
      </c>
      <c r="B10" s="49">
        <v>12083.7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+385.3+7.4+27.8+4+9.2</f>
        <v>10142.899999999998</v>
      </c>
      <c r="E10" s="1">
        <f>D10/D6*100</f>
        <v>4.9107601077540695</v>
      </c>
      <c r="F10" s="1">
        <f aca="true" t="shared" si="3" ref="F10:F41">D10/B10*100</f>
        <v>83.93869427410476</v>
      </c>
      <c r="G10" s="1">
        <f t="shared" si="0"/>
        <v>45.87554727358251</v>
      </c>
      <c r="H10" s="1">
        <f t="shared" si="2"/>
        <v>1940.800000000003</v>
      </c>
      <c r="I10" s="1">
        <f t="shared" si="1"/>
        <v>11966.7</v>
      </c>
    </row>
    <row r="11" spans="1:9" ht="18">
      <c r="A11" s="29" t="s">
        <v>0</v>
      </c>
      <c r="B11" s="49">
        <f>43504.8-43.7</f>
        <v>43461.100000000006</v>
      </c>
      <c r="C11" s="50">
        <f>59404.7+2001.2</f>
        <v>61405.899999999994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+218.1+23+127.5+254+7.2</f>
        <v>36823.40000000001</v>
      </c>
      <c r="E11" s="1">
        <f>D11/D6*100</f>
        <v>17.828321658684526</v>
      </c>
      <c r="F11" s="1">
        <f t="shared" si="3"/>
        <v>84.7272618502523</v>
      </c>
      <c r="G11" s="1">
        <f t="shared" si="0"/>
        <v>59.967201848682315</v>
      </c>
      <c r="H11" s="1">
        <f t="shared" si="2"/>
        <v>6637.699999999997</v>
      </c>
      <c r="I11" s="1">
        <f t="shared" si="1"/>
        <v>24582.499999999985</v>
      </c>
    </row>
    <row r="12" spans="1:9" ht="18">
      <c r="A12" s="29" t="s">
        <v>15</v>
      </c>
      <c r="B12" s="49">
        <v>246.2</v>
      </c>
      <c r="C12" s="50">
        <f>286.2+9.9</f>
        <v>296.09999999999997</v>
      </c>
      <c r="D12" s="51">
        <f>3.8+3.8+12.7+7.4+5+16.3+3.8+110.9+3.8+1.2+5.4+9.9+1.2</f>
        <v>185.2</v>
      </c>
      <c r="E12" s="1">
        <f>D12/D6*100</f>
        <v>0.08966595075925562</v>
      </c>
      <c r="F12" s="1">
        <f t="shared" si="3"/>
        <v>75.2233956133225</v>
      </c>
      <c r="G12" s="1">
        <f t="shared" si="0"/>
        <v>62.54643701452213</v>
      </c>
      <c r="H12" s="1">
        <f t="shared" si="2"/>
        <v>61</v>
      </c>
      <c r="I12" s="1">
        <f t="shared" si="1"/>
        <v>110.89999999999998</v>
      </c>
    </row>
    <row r="13" spans="1:9" ht="18.75" thickBot="1">
      <c r="A13" s="29" t="s">
        <v>35</v>
      </c>
      <c r="B13" s="50">
        <f>B6-B8-B9-B10-B11-B12</f>
        <v>2892.8</v>
      </c>
      <c r="C13" s="50">
        <f>C6-C8-C9-C10-C11-C12</f>
        <v>3690.0999999999754</v>
      </c>
      <c r="D13" s="50">
        <f>D6-D8-D9-D10-D11-D12</f>
        <v>1952.5000000000553</v>
      </c>
      <c r="E13" s="1">
        <f>D13/D6*100</f>
        <v>0.945317326444123</v>
      </c>
      <c r="F13" s="1">
        <f t="shared" si="3"/>
        <v>67.49516039823199</v>
      </c>
      <c r="G13" s="1">
        <f t="shared" si="0"/>
        <v>52.911845207448806</v>
      </c>
      <c r="H13" s="1">
        <f t="shared" si="2"/>
        <v>940.2999999999449</v>
      </c>
      <c r="I13" s="1">
        <f t="shared" si="1"/>
        <v>1737.59999999992</v>
      </c>
    </row>
    <row r="14" spans="1:9" s="44" customFormat="1" ht="18.75" customHeight="1" hidden="1">
      <c r="A14" s="108" t="s">
        <v>82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79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80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81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v>129823.9</v>
      </c>
      <c r="C18" s="53">
        <f>225678.2+490.7+518-0.1</f>
        <v>226686.80000000002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+0.7+5558.1+30.6+39.7+1439.1+104.8+53.4+309.2+6685.7+15.5</f>
        <v>126260.39999999995</v>
      </c>
      <c r="E18" s="3">
        <f>D18/D144*100</f>
        <v>24.885957789008103</v>
      </c>
      <c r="F18" s="3">
        <f>D18/B18*100</f>
        <v>97.25512790788133</v>
      </c>
      <c r="G18" s="3">
        <f t="shared" si="0"/>
        <v>55.69817033898751</v>
      </c>
      <c r="H18" s="3">
        <f>B18-D18</f>
        <v>3563.5000000000437</v>
      </c>
      <c r="I18" s="3">
        <f t="shared" si="1"/>
        <v>100426.40000000007</v>
      </c>
    </row>
    <row r="19" spans="1:9" s="44" customFormat="1" ht="18.75">
      <c r="A19" s="118" t="s">
        <v>108</v>
      </c>
      <c r="B19" s="109">
        <v>115998.8</v>
      </c>
      <c r="C19" s="106">
        <v>186519.2</v>
      </c>
      <c r="D19" s="119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+0.7+5558.1+1331.9+104.8+53.1+307+6685.7+15.5</f>
        <v>114935.30000000002</v>
      </c>
      <c r="E19" s="107">
        <f>D19/D18*100</f>
        <v>91.03036264735425</v>
      </c>
      <c r="F19" s="107">
        <f t="shared" si="3"/>
        <v>99.08318017082937</v>
      </c>
      <c r="G19" s="107">
        <f t="shared" si="0"/>
        <v>61.62116286151774</v>
      </c>
      <c r="H19" s="107">
        <f t="shared" si="2"/>
        <v>1063.4999999999854</v>
      </c>
      <c r="I19" s="107">
        <f t="shared" si="1"/>
        <v>71583.9</v>
      </c>
    </row>
    <row r="20" spans="1:9" ht="18">
      <c r="A20" s="29" t="s">
        <v>5</v>
      </c>
      <c r="B20" s="49">
        <v>98993</v>
      </c>
      <c r="C20" s="50">
        <v>169195.9</v>
      </c>
      <c r="D20" s="51">
        <f>5164.3+574.5+4352.6-225.6+2461.2+632.3+5026.9+4104.6-0.1+3875.3+3989.4+855.4+280+4996.6+192.6+3533.4+437.2+168.1+4832.7+3683.6+898.2+0.2+194.2+4252.2+32.7+5166.1+5891.5+37.7+4672.2+35.4+5475.1+7818.4+36.9+3282.7+5558.1+6685.7</f>
        <v>98972.29999999996</v>
      </c>
      <c r="E20" s="1">
        <f>D20/D18*100</f>
        <v>78.3874437274078</v>
      </c>
      <c r="F20" s="1">
        <f t="shared" si="3"/>
        <v>99.97908943056576</v>
      </c>
      <c r="G20" s="1">
        <f t="shared" si="0"/>
        <v>58.4956845881017</v>
      </c>
      <c r="H20" s="1">
        <f t="shared" si="2"/>
        <v>20.700000000040745</v>
      </c>
      <c r="I20" s="1">
        <f t="shared" si="1"/>
        <v>70223.60000000003</v>
      </c>
    </row>
    <row r="21" spans="1:9" ht="18">
      <c r="A21" s="29" t="s">
        <v>2</v>
      </c>
      <c r="B21" s="49">
        <f>6770+22+58.6</f>
        <v>6850.6</v>
      </c>
      <c r="C21" s="50">
        <f>12491.1+200.3</f>
        <v>12691.4</v>
      </c>
      <c r="D21" s="51">
        <f>11+1.8+42.7+3+47.6+40.1+0.7+2.5+101.4-0.1+82.5+53+0.2+1536.8+83.2+0.7+12.8+1.8+77.1+0.2+37.6+299.6+50.4+17.9+245.6+224.3+1.2+312.9+1.2+314.9+3.5+3.6+128.9+182.5+0.1+23.5+30.3+658.3+3.6+8.8+69.3+15.5</f>
        <v>4732.5</v>
      </c>
      <c r="E21" s="1">
        <f>D21/D18*100</f>
        <v>3.7482060883697517</v>
      </c>
      <c r="F21" s="1">
        <f t="shared" si="3"/>
        <v>69.08154030303915</v>
      </c>
      <c r="G21" s="1">
        <f t="shared" si="0"/>
        <v>37.28903036702019</v>
      </c>
      <c r="H21" s="1">
        <f t="shared" si="2"/>
        <v>2118.1000000000004</v>
      </c>
      <c r="I21" s="1">
        <f t="shared" si="1"/>
        <v>7958.9</v>
      </c>
    </row>
    <row r="22" spans="1:9" ht="18">
      <c r="A22" s="29" t="s">
        <v>1</v>
      </c>
      <c r="B22" s="49">
        <v>1872.6</v>
      </c>
      <c r="C22" s="50">
        <v>3253.3</v>
      </c>
      <c r="D22" s="51">
        <f>173.9+19+7.6+19.5+89.8+0.1+92.4+48.6+202.1+56.1+96.9+242.1+36.1+19.2+171.7+0.1+22.2+39+81.6+82+84.2+0.1+30.3-30.3+115.9+98.3+38+4.5</f>
        <v>1841</v>
      </c>
      <c r="E22" s="1">
        <f>D22/D18*100</f>
        <v>1.4580977091788088</v>
      </c>
      <c r="F22" s="1">
        <f t="shared" si="3"/>
        <v>98.31250667521094</v>
      </c>
      <c r="G22" s="1">
        <f t="shared" si="0"/>
        <v>56.58869455629668</v>
      </c>
      <c r="H22" s="1">
        <f t="shared" si="2"/>
        <v>31.59999999999991</v>
      </c>
      <c r="I22" s="1">
        <f t="shared" si="1"/>
        <v>1412.3000000000002</v>
      </c>
    </row>
    <row r="23" spans="1:9" ht="18">
      <c r="A23" s="29" t="s">
        <v>0</v>
      </c>
      <c r="B23" s="49">
        <f>13596.3-22-7.3</f>
        <v>13567</v>
      </c>
      <c r="C23" s="50">
        <f>24676.2+518</f>
        <v>25194.2</v>
      </c>
      <c r="D23" s="51">
        <f>96.9+173.9+611.9+463.4+109.9+698.9+114.7+0.2+702.4+1027.2+819.6+1945.5+240.6+329.9+0.1+104.4+1287.1+2.2+0.5+9+338.9+138.1+1558.4-0.2+1154.7+105.4+0.9+293.6+119+115+9.1+124.5+51.3+389.9+0.7+203.6</f>
        <v>13341.2</v>
      </c>
      <c r="E23" s="1">
        <f>D23/D18*100</f>
        <v>10.566416707059384</v>
      </c>
      <c r="F23" s="1">
        <f t="shared" si="3"/>
        <v>98.33566742831871</v>
      </c>
      <c r="G23" s="1">
        <f t="shared" si="0"/>
        <v>52.95345754181518</v>
      </c>
      <c r="H23" s="1">
        <f t="shared" si="2"/>
        <v>225.79999999999927</v>
      </c>
      <c r="I23" s="1">
        <f t="shared" si="1"/>
        <v>11853</v>
      </c>
    </row>
    <row r="24" spans="1:9" ht="18">
      <c r="A24" s="29" t="s">
        <v>15</v>
      </c>
      <c r="B24" s="49">
        <f>831.9-53.2</f>
        <v>778.6999999999999</v>
      </c>
      <c r="C24" s="50">
        <v>1528.1</v>
      </c>
      <c r="D24" s="51">
        <f>111+58.1+166.1+55.7+24.9+10.1-0.1+89.8+44.2+0.1+106.9+106.7</f>
        <v>773.5</v>
      </c>
      <c r="E24" s="1">
        <f>D24/D18*100</f>
        <v>0.612622801765241</v>
      </c>
      <c r="F24" s="1">
        <f t="shared" si="3"/>
        <v>99.33222036727881</v>
      </c>
      <c r="G24" s="1">
        <f t="shared" si="0"/>
        <v>50.618415025194686</v>
      </c>
      <c r="H24" s="1">
        <f t="shared" si="2"/>
        <v>5.199999999999932</v>
      </c>
      <c r="I24" s="1">
        <f t="shared" si="1"/>
        <v>754.5999999999999</v>
      </c>
    </row>
    <row r="25" spans="1:9" ht="18.75" thickBot="1">
      <c r="A25" s="29" t="s">
        <v>35</v>
      </c>
      <c r="B25" s="50">
        <f>B18-B20-B21-B22-B23-B24</f>
        <v>7761.999999999997</v>
      </c>
      <c r="C25" s="50">
        <f>C18-C20-C21-C22-C23-C24</f>
        <v>14823.900000000018</v>
      </c>
      <c r="D25" s="50">
        <f>D18-D20-D21-D22-D23-D24</f>
        <v>6599.8999999999905</v>
      </c>
      <c r="E25" s="1">
        <f>D25/D18*100</f>
        <v>5.227212966219015</v>
      </c>
      <c r="F25" s="1">
        <f t="shared" si="3"/>
        <v>85.02834321051266</v>
      </c>
      <c r="G25" s="1">
        <f t="shared" si="0"/>
        <v>44.522021870088054</v>
      </c>
      <c r="H25" s="1">
        <f t="shared" si="2"/>
        <v>1162.1000000000067</v>
      </c>
      <c r="I25" s="1">
        <f t="shared" si="1"/>
        <v>8224.000000000027</v>
      </c>
    </row>
    <row r="26" spans="1:9" ht="57" hidden="1" thickBot="1">
      <c r="A26" s="108" t="s">
        <v>90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91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92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93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94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95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96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v>27185.8</v>
      </c>
      <c r="C33" s="53">
        <f>41831.7+164.1+250.5+5</f>
        <v>42251.299999999996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+29.8+412.4+5.4+70.2+29.4+6.7+30.5+401.4+0.1+1.5</f>
        <v>25962.6</v>
      </c>
      <c r="E33" s="3">
        <f>D33/D144*100</f>
        <v>5.117235235219451</v>
      </c>
      <c r="F33" s="3">
        <f>D33/B33*100</f>
        <v>95.50059222093887</v>
      </c>
      <c r="G33" s="3">
        <f t="shared" si="0"/>
        <v>61.44805011916793</v>
      </c>
      <c r="H33" s="3">
        <f t="shared" si="2"/>
        <v>1223.2000000000007</v>
      </c>
      <c r="I33" s="3">
        <f t="shared" si="1"/>
        <v>16288.699999999997</v>
      </c>
    </row>
    <row r="34" spans="1:9" ht="18">
      <c r="A34" s="29" t="s">
        <v>3</v>
      </c>
      <c r="B34" s="49">
        <f>19374.1+17.8</f>
        <v>19391.899999999998</v>
      </c>
      <c r="C34" s="50">
        <v>29626.4</v>
      </c>
      <c r="D34" s="51">
        <f>1216.2+1064.6-0.1+1185.2+1240.8+0.1+1202.8+1206.8+1191.1+1224.7+5.8+1196.2+1414.6+52.8+4003.5+27.3+1811.7+0.1+103.5+404.5+5.7+308.6</f>
        <v>18866.5</v>
      </c>
      <c r="E34" s="1">
        <f>D34/D33*100</f>
        <v>72.66799164952663</v>
      </c>
      <c r="F34" s="1">
        <f t="shared" si="3"/>
        <v>97.29062134190049</v>
      </c>
      <c r="G34" s="1">
        <f t="shared" si="0"/>
        <v>63.68137877028596</v>
      </c>
      <c r="H34" s="1">
        <f t="shared" si="2"/>
        <v>525.3999999999978</v>
      </c>
      <c r="I34" s="1">
        <f t="shared" si="1"/>
        <v>10759.900000000001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f>1632.6-17.8</f>
        <v>1614.8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+3.4+0.7+0.2+0.6+0.4+6.4+0.1</f>
        <v>1257.1000000000001</v>
      </c>
      <c r="E36" s="1">
        <f>D36/D33*100</f>
        <v>4.841964980394876</v>
      </c>
      <c r="F36" s="1">
        <f t="shared" si="3"/>
        <v>77.84864998761456</v>
      </c>
      <c r="G36" s="1">
        <f t="shared" si="0"/>
        <v>47.01196709050113</v>
      </c>
      <c r="H36" s="1">
        <f t="shared" si="2"/>
        <v>357.6999999999998</v>
      </c>
      <c r="I36" s="1">
        <f t="shared" si="1"/>
        <v>1416.8999999999999</v>
      </c>
    </row>
    <row r="37" spans="1:9" s="44" customFormat="1" ht="18.75">
      <c r="A37" s="23" t="s">
        <v>7</v>
      </c>
      <c r="B37" s="58">
        <v>392.9</v>
      </c>
      <c r="C37" s="59">
        <f>493.5+22</f>
        <v>515.5</v>
      </c>
      <c r="D37" s="60">
        <f>19+12.3+0.1+11.9+3.2+10.7+22.4+14.8+37.3+30.8+8.3+7.2+2+25.1+13.4+51+75.3+5</f>
        <v>349.8</v>
      </c>
      <c r="E37" s="19">
        <f>D37/D33*100</f>
        <v>1.3473226872501214</v>
      </c>
      <c r="F37" s="19">
        <f t="shared" si="3"/>
        <v>89.03028760498856</v>
      </c>
      <c r="G37" s="19">
        <f t="shared" si="0"/>
        <v>67.85645004849661</v>
      </c>
      <c r="H37" s="19">
        <f t="shared" si="2"/>
        <v>43.099999999999966</v>
      </c>
      <c r="I37" s="19">
        <f t="shared" si="1"/>
        <v>165.7</v>
      </c>
    </row>
    <row r="38" spans="1:9" ht="18">
      <c r="A38" s="29" t="s">
        <v>15</v>
      </c>
      <c r="B38" s="49">
        <v>37</v>
      </c>
      <c r="C38" s="50">
        <v>47.2</v>
      </c>
      <c r="D38" s="50">
        <f>3.4+3.4+3.4+3.4+3.4</f>
        <v>17</v>
      </c>
      <c r="E38" s="1">
        <f>D38/D33*100</f>
        <v>0.065478804125935</v>
      </c>
      <c r="F38" s="1">
        <f t="shared" si="3"/>
        <v>45.94594594594595</v>
      </c>
      <c r="G38" s="1">
        <f t="shared" si="0"/>
        <v>36.016949152542374</v>
      </c>
      <c r="H38" s="1">
        <f t="shared" si="2"/>
        <v>20</v>
      </c>
      <c r="I38" s="1">
        <f t="shared" si="1"/>
        <v>30.200000000000003</v>
      </c>
    </row>
    <row r="39" spans="1:9" ht="18.75" thickBot="1">
      <c r="A39" s="29" t="s">
        <v>35</v>
      </c>
      <c r="B39" s="49">
        <f>B33-B34-B36-B37-B35-B38</f>
        <v>5749.200000000002</v>
      </c>
      <c r="C39" s="49">
        <f>C33-C34-C36-C37-C35-C38</f>
        <v>9388.199999999993</v>
      </c>
      <c r="D39" s="49">
        <f>D33-D34-D36-D37-D35-D38</f>
        <v>5472.199999999998</v>
      </c>
      <c r="E39" s="1">
        <f>D39/D33*100</f>
        <v>21.077241878702434</v>
      </c>
      <c r="F39" s="1">
        <f t="shared" si="3"/>
        <v>95.18193835664086</v>
      </c>
      <c r="G39" s="1">
        <f t="shared" si="0"/>
        <v>58.28806373958801</v>
      </c>
      <c r="H39" s="1">
        <f>B39-D39</f>
        <v>277.00000000000364</v>
      </c>
      <c r="I39" s="1">
        <f t="shared" si="1"/>
        <v>3915.9999999999955</v>
      </c>
    </row>
    <row r="40" spans="1:9" ht="19.5" hidden="1" thickBot="1">
      <c r="A40" s="108" t="s">
        <v>87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88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89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495</v>
      </c>
      <c r="C43" s="53">
        <f>768.4+32.5+15+3</f>
        <v>818.9</v>
      </c>
      <c r="D43" s="54">
        <f>17.7+12.2+11.2+51.1+0.8+30+0.1+18.9+27.3+43.7+9+5.4+5.6+7.8+24.4+6.4-0.1+26.1+70.2+6+6+27.3+26.1+5.1+3+1+25.2+2</f>
        <v>469.5</v>
      </c>
      <c r="E43" s="3">
        <f>D43/D144*100</f>
        <v>0.09253857252107002</v>
      </c>
      <c r="F43" s="3">
        <f>D43/B43*100</f>
        <v>94.84848484848484</v>
      </c>
      <c r="G43" s="3">
        <f t="shared" si="0"/>
        <v>57.33300769324704</v>
      </c>
      <c r="H43" s="3">
        <f t="shared" si="2"/>
        <v>25.5</v>
      </c>
      <c r="I43" s="3">
        <f t="shared" si="1"/>
        <v>349.4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55</v>
      </c>
      <c r="B45" s="52">
        <f>3930.5-2.4</f>
        <v>3928.1</v>
      </c>
      <c r="C45" s="53">
        <f>6659.3+87.1+1.5</f>
        <v>6747.900000000001</v>
      </c>
      <c r="D45" s="54">
        <f>193+223+8.7+101.1+200.9+9+241+299.2+7.6+43.6+283.1+0.8+48.7+276.1+3.4+2.2+253.5+5+282+1.9+4.8+3.2+261.3+0.5+265.1+0.7+6.9+276.6+1.6+124.9+209.3+1.9+2.9+4.7+268.2</f>
        <v>3916.3999999999996</v>
      </c>
      <c r="E45" s="3">
        <f>D45/D144*100</f>
        <v>0.7719234620266637</v>
      </c>
      <c r="F45" s="3">
        <f>D45/B45*100</f>
        <v>99.7021460757109</v>
      </c>
      <c r="G45" s="3">
        <f aca="true" t="shared" si="4" ref="G45:G75">D45/C45*100</f>
        <v>58.03879725544242</v>
      </c>
      <c r="H45" s="3">
        <f>B45-D45</f>
        <v>11.700000000000273</v>
      </c>
      <c r="I45" s="3">
        <f aca="true" t="shared" si="5" ref="I45:I76">C45-D45</f>
        <v>2831.500000000001</v>
      </c>
    </row>
    <row r="46" spans="1:9" ht="18">
      <c r="A46" s="29" t="s">
        <v>3</v>
      </c>
      <c r="B46" s="49">
        <f>3326.8+31.6</f>
        <v>3358.4</v>
      </c>
      <c r="C46" s="50">
        <v>5755.9</v>
      </c>
      <c r="D46" s="51">
        <f>193+222.7+1.6+196.4+240.9+0.1+199.7+265.9+214+253.1+238.6+255.9+243.9+273.5+83.6+206+267.9</f>
        <v>3356.8</v>
      </c>
      <c r="E46" s="1">
        <f>D46/D45*100</f>
        <v>85.71136758247371</v>
      </c>
      <c r="F46" s="1">
        <f aca="true" t="shared" si="6" ref="F46:F73">D46/B46*100</f>
        <v>99.95235826584089</v>
      </c>
      <c r="G46" s="1">
        <f t="shared" si="4"/>
        <v>58.31928977223372</v>
      </c>
      <c r="H46" s="1">
        <f aca="true" t="shared" si="7" ref="H46:H73">B46-D46</f>
        <v>1.599999999999909</v>
      </c>
      <c r="I46" s="1">
        <f t="shared" si="5"/>
        <v>2399.0999999999995</v>
      </c>
    </row>
    <row r="47" spans="1:9" ht="18">
      <c r="A47" s="29" t="s">
        <v>2</v>
      </c>
      <c r="B47" s="49">
        <v>0.7</v>
      </c>
      <c r="C47" s="50">
        <v>1.2</v>
      </c>
      <c r="D47" s="51">
        <f>0.3+0.4</f>
        <v>0.7</v>
      </c>
      <c r="E47" s="1">
        <f>D47/D45*100</f>
        <v>0.017873557348585437</v>
      </c>
      <c r="F47" s="1">
        <f t="shared" si="6"/>
        <v>100</v>
      </c>
      <c r="G47" s="1">
        <f t="shared" si="4"/>
        <v>58.333333333333336</v>
      </c>
      <c r="H47" s="1">
        <f t="shared" si="7"/>
        <v>0</v>
      </c>
      <c r="I47" s="1">
        <f t="shared" si="5"/>
        <v>0.5</v>
      </c>
    </row>
    <row r="48" spans="1:9" ht="18">
      <c r="A48" s="29" t="s">
        <v>1</v>
      </c>
      <c r="B48" s="49">
        <f>37.6-5.8</f>
        <v>31.8</v>
      </c>
      <c r="C48" s="50">
        <v>60.2</v>
      </c>
      <c r="D48" s="51">
        <f>3.8+1+5.7-0.1+1.3+4.1-0.1+4.6+1.1+4.8+5.5</f>
        <v>31.700000000000003</v>
      </c>
      <c r="E48" s="1">
        <f>D48/D45*100</f>
        <v>0.8094168113573691</v>
      </c>
      <c r="F48" s="1">
        <f t="shared" si="6"/>
        <v>99.68553459119498</v>
      </c>
      <c r="G48" s="1">
        <f t="shared" si="4"/>
        <v>52.657807308970106</v>
      </c>
      <c r="H48" s="1">
        <f t="shared" si="7"/>
        <v>0.09999999999999787</v>
      </c>
      <c r="I48" s="1">
        <f t="shared" si="5"/>
        <v>28.5</v>
      </c>
    </row>
    <row r="49" spans="1:9" ht="18">
      <c r="A49" s="29" t="s">
        <v>0</v>
      </c>
      <c r="B49" s="49">
        <f>313.4-3</f>
        <v>310.4</v>
      </c>
      <c r="C49" s="50">
        <v>538.3</v>
      </c>
      <c r="D49" s="51">
        <f>4.7+90.3+4.8+67.1+3.1+1.1+45.6+36.3+2.7+2+0.1+34.4+3.4+0.5+2.5+1.1+0.5+0.5+1.4+1.1</f>
        <v>303.19999999999993</v>
      </c>
      <c r="E49" s="1">
        <f>D49/D45*100</f>
        <v>7.741803697273005</v>
      </c>
      <c r="F49" s="1">
        <f t="shared" si="6"/>
        <v>97.68041237113401</v>
      </c>
      <c r="G49" s="1">
        <f t="shared" si="4"/>
        <v>56.32546906929221</v>
      </c>
      <c r="H49" s="1">
        <f t="shared" si="7"/>
        <v>7.2000000000000455</v>
      </c>
      <c r="I49" s="1">
        <f t="shared" si="5"/>
        <v>235.10000000000002</v>
      </c>
    </row>
    <row r="50" spans="1:9" ht="18.75" thickBot="1">
      <c r="A50" s="29" t="s">
        <v>35</v>
      </c>
      <c r="B50" s="50">
        <f>B45-B46-B49-B48-B47</f>
        <v>226.79999999999984</v>
      </c>
      <c r="C50" s="50">
        <f>C45-C46-C49-C48-C47</f>
        <v>392.300000000001</v>
      </c>
      <c r="D50" s="50">
        <f>D45-D46-D49-D48-D47</f>
        <v>223.99999999999955</v>
      </c>
      <c r="E50" s="1">
        <f>D50/D45*100</f>
        <v>5.719538351547328</v>
      </c>
      <c r="F50" s="1">
        <f t="shared" si="6"/>
        <v>98.7654320987653</v>
      </c>
      <c r="G50" s="1">
        <f t="shared" si="4"/>
        <v>57.09915880703518</v>
      </c>
      <c r="H50" s="1">
        <f t="shared" si="7"/>
        <v>2.8000000000002956</v>
      </c>
      <c r="I50" s="1">
        <f t="shared" si="5"/>
        <v>168.30000000000143</v>
      </c>
    </row>
    <row r="51" spans="1:9" ht="18.75" thickBot="1">
      <c r="A51" s="28" t="s">
        <v>4</v>
      </c>
      <c r="B51" s="52">
        <v>8761.7</v>
      </c>
      <c r="C51" s="53">
        <f>13881+326.7</f>
        <v>14207.7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+54.8+362+13.6+26.1+0.4+1.1+0.1+32.1+477.5+22.1</f>
        <v>8125.000000000003</v>
      </c>
      <c r="E51" s="3">
        <f>D51/D144*100</f>
        <v>1.601439620306058</v>
      </c>
      <c r="F51" s="3">
        <f>D51/B51*100</f>
        <v>92.73314539415868</v>
      </c>
      <c r="G51" s="3">
        <f t="shared" si="4"/>
        <v>57.18729984445056</v>
      </c>
      <c r="H51" s="3">
        <f>B51-D51</f>
        <v>636.699999999998</v>
      </c>
      <c r="I51" s="3">
        <f t="shared" si="5"/>
        <v>6082.699999999998</v>
      </c>
    </row>
    <row r="52" spans="1:9" ht="18">
      <c r="A52" s="29" t="s">
        <v>3</v>
      </c>
      <c r="B52" s="49">
        <v>5297.6</v>
      </c>
      <c r="C52" s="50">
        <v>8729.1</v>
      </c>
      <c r="D52" s="51">
        <f>260.4+390.2+0.1+271.7+395.7-0.1+282.9+391.4+0.1+7.8+263.9+397.2+272.6+486-0.1+358+766.6-0.1+295.1+13.6+394.1</f>
        <v>5247.1</v>
      </c>
      <c r="E52" s="1">
        <f>D52/D51*100</f>
        <v>64.5796923076923</v>
      </c>
      <c r="F52" s="1">
        <f t="shared" si="6"/>
        <v>99.04673814557535</v>
      </c>
      <c r="G52" s="1">
        <f t="shared" si="4"/>
        <v>60.11043521096104</v>
      </c>
      <c r="H52" s="1">
        <f t="shared" si="7"/>
        <v>50.5</v>
      </c>
      <c r="I52" s="1">
        <f t="shared" si="5"/>
        <v>3482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6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v>148.9</v>
      </c>
      <c r="C54" s="50">
        <f>189.7+74</f>
        <v>263.7</v>
      </c>
      <c r="D54" s="51">
        <f>1.7+1.5+4.6+9.7+8-0.1+0.1+5.9+12.1+0.1+17.6+12.8+4+10.7+8.4+14.1+1.9+4.9+0.7+2.4</f>
        <v>121.10000000000002</v>
      </c>
      <c r="E54" s="1">
        <f>D54/D51*100</f>
        <v>1.4904615384615383</v>
      </c>
      <c r="F54" s="1">
        <f t="shared" si="6"/>
        <v>81.32975151108127</v>
      </c>
      <c r="G54" s="1">
        <f t="shared" si="4"/>
        <v>45.92339780053092</v>
      </c>
      <c r="H54" s="1">
        <f t="shared" si="7"/>
        <v>27.799999999999983</v>
      </c>
      <c r="I54" s="1">
        <f t="shared" si="5"/>
        <v>142.59999999999997</v>
      </c>
    </row>
    <row r="55" spans="1:9" ht="18">
      <c r="A55" s="29" t="s">
        <v>0</v>
      </c>
      <c r="B55" s="49">
        <v>421.1</v>
      </c>
      <c r="C55" s="50">
        <f>709.9+0.6</f>
        <v>710.5</v>
      </c>
      <c r="D55" s="51">
        <f>1.1+7.6+5.9+0.3+0.2+6.8+0.3+67.1+16.4-0.1+19.5+19.3+76.2+4.5+12.1+86.4+1+0.1+7.3+44.6+0.6+0.7+4.7+3.3+0.6+3.6+2.4+6.1+0.1+1.4+1.4+0.4+0.1+0.5+4.8</f>
        <v>407.3000000000001</v>
      </c>
      <c r="E55" s="1">
        <f>D55/D51*100</f>
        <v>5.012923076923077</v>
      </c>
      <c r="F55" s="1">
        <f t="shared" si="6"/>
        <v>96.72286867727384</v>
      </c>
      <c r="G55" s="1">
        <f t="shared" si="4"/>
        <v>57.32582688247715</v>
      </c>
      <c r="H55" s="1">
        <f t="shared" si="7"/>
        <v>13.799999999999898</v>
      </c>
      <c r="I55" s="1">
        <f t="shared" si="5"/>
        <v>303.1999999999999</v>
      </c>
    </row>
    <row r="56" spans="1:9" ht="18.75" thickBot="1">
      <c r="A56" s="29" t="s">
        <v>35</v>
      </c>
      <c r="B56" s="50">
        <f>B51-B52-B55-B54-B53</f>
        <v>2894.1000000000004</v>
      </c>
      <c r="C56" s="50">
        <f>C51-C52-C55-C54-C53</f>
        <v>4493.500000000001</v>
      </c>
      <c r="D56" s="50">
        <f>D51-D52-D55-D54-D53</f>
        <v>2349.5000000000023</v>
      </c>
      <c r="E56" s="1">
        <f>D56/D51*100</f>
        <v>28.916923076923094</v>
      </c>
      <c r="F56" s="1">
        <f t="shared" si="6"/>
        <v>81.18240558377396</v>
      </c>
      <c r="G56" s="1">
        <f t="shared" si="4"/>
        <v>52.28663625236457</v>
      </c>
      <c r="H56" s="1">
        <f t="shared" si="7"/>
        <v>544.5999999999981</v>
      </c>
      <c r="I56" s="1">
        <f>C56-D56</f>
        <v>2143.9999999999986</v>
      </c>
    </row>
    <row r="57" spans="1:9" s="44" customFormat="1" ht="19.5" hidden="1" thickBot="1">
      <c r="A57" s="108" t="s">
        <v>86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v>3638.6</v>
      </c>
      <c r="C58" s="53">
        <f>3033.3+2447.7+44</f>
        <v>5525</v>
      </c>
      <c r="D58" s="54">
        <f>36.1+65.6+6.5+0.4+1.3+60.3+3+39.2+0.1+14.1+69.1+5.2-0.1+1.8+81+43+6.1+66+42.4+63.1+71.4+46.8+10.3+27.4+2.3+82.5+2.8+0.1+44.9+0.6+7.5+171.3-0.1+367.2+95.8+11.5+311.3+2+93.8+64.9+129.4</f>
        <v>2147.8999999999996</v>
      </c>
      <c r="E58" s="3">
        <f>D58/D144*100</f>
        <v>0.4233516505175852</v>
      </c>
      <c r="F58" s="3">
        <f>D58/B58*100</f>
        <v>59.03094596822953</v>
      </c>
      <c r="G58" s="3">
        <f t="shared" si="4"/>
        <v>38.87601809954751</v>
      </c>
      <c r="H58" s="3">
        <f>B58-D58</f>
        <v>1490.7000000000003</v>
      </c>
      <c r="I58" s="3">
        <f t="shared" si="5"/>
        <v>3377.1000000000004</v>
      </c>
    </row>
    <row r="59" spans="1:9" ht="18">
      <c r="A59" s="29" t="s">
        <v>3</v>
      </c>
      <c r="B59" s="49">
        <f>835.7+1.7</f>
        <v>837.4000000000001</v>
      </c>
      <c r="C59" s="50">
        <v>1426.1</v>
      </c>
      <c r="D59" s="51">
        <f>36.1+65.6+39.2+69.1+1.8+43+66+41.2+71.4+46.8+1.2+82.5+0.1+44.9+89.3+53.8+64.9</f>
        <v>816.8999999999999</v>
      </c>
      <c r="E59" s="1">
        <f>D59/D58*100</f>
        <v>38.0324968573956</v>
      </c>
      <c r="F59" s="1">
        <f t="shared" si="6"/>
        <v>97.55194650107472</v>
      </c>
      <c r="G59" s="1">
        <f t="shared" si="4"/>
        <v>57.28209802959119</v>
      </c>
      <c r="H59" s="1">
        <f t="shared" si="7"/>
        <v>20.500000000000227</v>
      </c>
      <c r="I59" s="1">
        <f t="shared" si="5"/>
        <v>609.2</v>
      </c>
    </row>
    <row r="60" spans="1:9" ht="18">
      <c r="A60" s="29" t="s">
        <v>1</v>
      </c>
      <c r="B60" s="49">
        <v>201.1</v>
      </c>
      <c r="C60" s="50">
        <f>299.9</f>
        <v>299.9</v>
      </c>
      <c r="D60" s="51">
        <f>82+25+0.2+76.4</f>
        <v>183.60000000000002</v>
      </c>
      <c r="E60" s="1">
        <f>D60/D58*100</f>
        <v>8.547883979701105</v>
      </c>
      <c r="F60" s="1">
        <f>D60/B60*100</f>
        <v>91.29786176031827</v>
      </c>
      <c r="G60" s="1">
        <f t="shared" si="4"/>
        <v>61.22040680226743</v>
      </c>
      <c r="H60" s="1">
        <f t="shared" si="7"/>
        <v>17.49999999999997</v>
      </c>
      <c r="I60" s="1">
        <f t="shared" si="5"/>
        <v>116.29999999999995</v>
      </c>
    </row>
    <row r="61" spans="1:9" ht="18">
      <c r="A61" s="29" t="s">
        <v>0</v>
      </c>
      <c r="B61" s="49">
        <f>288.8-1.7</f>
        <v>287.1</v>
      </c>
      <c r="C61" s="50">
        <f>420.8+44</f>
        <v>464.8</v>
      </c>
      <c r="D61" s="51">
        <f>1.3+56.1+4.9+63.5+3.5+0.7+63-0.1+10.3+25.7+2.8+0.3+7.3+0.2+1</f>
        <v>240.50000000000003</v>
      </c>
      <c r="E61" s="1">
        <f>D61/D58*100</f>
        <v>11.196983099771874</v>
      </c>
      <c r="F61" s="1">
        <f t="shared" si="6"/>
        <v>83.76872169975618</v>
      </c>
      <c r="G61" s="1">
        <f t="shared" si="4"/>
        <v>51.74268502581756</v>
      </c>
      <c r="H61" s="1">
        <f t="shared" si="7"/>
        <v>46.599999999999994</v>
      </c>
      <c r="I61" s="1">
        <f t="shared" si="5"/>
        <v>224.29999999999998</v>
      </c>
    </row>
    <row r="62" spans="1:9" ht="18">
      <c r="A62" s="29" t="s">
        <v>15</v>
      </c>
      <c r="B62" s="49">
        <v>2128.9</v>
      </c>
      <c r="C62" s="50">
        <f>728.9+2400</f>
        <v>3128.9</v>
      </c>
      <c r="D62" s="51">
        <f>367.2+308.5+129.4</f>
        <v>805.1</v>
      </c>
      <c r="E62" s="1">
        <f>D62/D58*100</f>
        <v>37.483123050421355</v>
      </c>
      <c r="F62" s="1">
        <f>D62/B62*100</f>
        <v>37.81765230870403</v>
      </c>
      <c r="G62" s="1">
        <f t="shared" si="4"/>
        <v>25.731087602671863</v>
      </c>
      <c r="H62" s="1">
        <f t="shared" si="7"/>
        <v>1323.8000000000002</v>
      </c>
      <c r="I62" s="1">
        <f t="shared" si="5"/>
        <v>2323.8</v>
      </c>
    </row>
    <row r="63" spans="1:9" ht="18.75" thickBot="1">
      <c r="A63" s="29" t="s">
        <v>35</v>
      </c>
      <c r="B63" s="50">
        <f>B58-B59-B61-B62-B60</f>
        <v>184.09999999999982</v>
      </c>
      <c r="C63" s="50">
        <f>C58-C59-C61-C62-C60</f>
        <v>205.2999999999994</v>
      </c>
      <c r="D63" s="50">
        <f>D58-D59-D61-D62-D60</f>
        <v>101.79999999999973</v>
      </c>
      <c r="E63" s="1">
        <f>D63/D58*100</f>
        <v>4.739513012710077</v>
      </c>
      <c r="F63" s="1">
        <f t="shared" si="6"/>
        <v>55.29603476371528</v>
      </c>
      <c r="G63" s="1">
        <f t="shared" si="4"/>
        <v>49.58597174866051</v>
      </c>
      <c r="H63" s="1">
        <f t="shared" si="7"/>
        <v>82.3000000000001</v>
      </c>
      <c r="I63" s="1">
        <f t="shared" si="5"/>
        <v>103.49999999999966</v>
      </c>
    </row>
    <row r="64" spans="1:9" s="44" customFormat="1" ht="19.5" hidden="1" thickBot="1">
      <c r="A64" s="108" t="s">
        <v>97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83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84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85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294.70000000000005</v>
      </c>
      <c r="C68" s="53">
        <f>C69+C70</f>
        <v>416.6</v>
      </c>
      <c r="D68" s="54">
        <f>SUM(D69:D70)</f>
        <v>228.29999999999998</v>
      </c>
      <c r="E68" s="42">
        <f>D68/D144*100</f>
        <v>0.0449979895773382</v>
      </c>
      <c r="F68" s="111">
        <f>D68/B68*100</f>
        <v>77.46861214794704</v>
      </c>
      <c r="G68" s="3">
        <f t="shared" si="4"/>
        <v>54.800768122899655</v>
      </c>
      <c r="H68" s="3">
        <f>B68-D68</f>
        <v>66.40000000000006</v>
      </c>
      <c r="I68" s="3">
        <f t="shared" si="5"/>
        <v>188.30000000000004</v>
      </c>
    </row>
    <row r="69" spans="1:9" ht="18">
      <c r="A69" s="29" t="s">
        <v>8</v>
      </c>
      <c r="B69" s="49">
        <f>230.3+6.5</f>
        <v>236.8</v>
      </c>
      <c r="C69" s="50">
        <f>250.3-5</f>
        <v>245.3</v>
      </c>
      <c r="D69" s="51">
        <f>0.2+12.6+73.3+85.8+22+1.3+2.3+2.7+1.6+2.5+7.9-0.2+3.6+5.1</f>
        <v>220.7</v>
      </c>
      <c r="E69" s="1">
        <f>D69/D68*100</f>
        <v>96.67104686815594</v>
      </c>
      <c r="F69" s="1">
        <f t="shared" si="6"/>
        <v>93.20101351351352</v>
      </c>
      <c r="G69" s="1">
        <f t="shared" si="4"/>
        <v>89.9714635140644</v>
      </c>
      <c r="H69" s="1">
        <f t="shared" si="7"/>
        <v>16.100000000000023</v>
      </c>
      <c r="I69" s="1">
        <f t="shared" si="5"/>
        <v>24.600000000000023</v>
      </c>
    </row>
    <row r="70" spans="1:9" ht="18.75" thickBot="1">
      <c r="A70" s="29" t="s">
        <v>9</v>
      </c>
      <c r="B70" s="49">
        <f>64.4-6.5</f>
        <v>57.900000000000006</v>
      </c>
      <c r="C70" s="50">
        <f>242.8-42.9-28.6</f>
        <v>171.3</v>
      </c>
      <c r="D70" s="51">
        <f>7.4+0.2</f>
        <v>7.6000000000000005</v>
      </c>
      <c r="E70" s="1">
        <f>D70/D69*100</f>
        <v>3.4435885817852294</v>
      </c>
      <c r="F70" s="1">
        <f t="shared" si="6"/>
        <v>13.126079447322969</v>
      </c>
      <c r="G70" s="1">
        <f t="shared" si="4"/>
        <v>4.436660828955049</v>
      </c>
      <c r="H70" s="1">
        <f t="shared" si="7"/>
        <v>50.300000000000004</v>
      </c>
      <c r="I70" s="1">
        <f t="shared" si="5"/>
        <v>163.70000000000002</v>
      </c>
    </row>
    <row r="71" spans="1:9" ht="38.25" hidden="1" thickBot="1">
      <c r="A71" s="14" t="s">
        <v>51</v>
      </c>
      <c r="B71" s="61"/>
      <c r="C71" s="53">
        <f>C72+C73+C74+C75</f>
        <v>0</v>
      </c>
      <c r="D71" s="53">
        <f>D72+D73+D74+D75</f>
        <v>0</v>
      </c>
      <c r="E71" s="3">
        <f>D71/D144*100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57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58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42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52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57.9</v>
      </c>
      <c r="C76" s="69">
        <f>10000-6127.8-2982.3-400</f>
        <v>489.89999999999964</v>
      </c>
      <c r="D76" s="70"/>
      <c r="E76" s="48"/>
      <c r="F76" s="48"/>
      <c r="G76" s="48"/>
      <c r="H76" s="48">
        <f>B76-D76</f>
        <v>57.9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77</v>
      </c>
      <c r="B78" s="61"/>
      <c r="C78" s="53">
        <f>C79+C80</f>
        <v>0</v>
      </c>
      <c r="D78" s="53">
        <f>D79+D80</f>
        <v>0</v>
      </c>
      <c r="E78" s="3">
        <f>D78/D144*100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76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69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41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48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43</v>
      </c>
      <c r="B83" s="61"/>
      <c r="C83" s="53">
        <f>C84+C85</f>
        <v>0</v>
      </c>
      <c r="D83" s="53">
        <f>D84+D85</f>
        <v>0</v>
      </c>
      <c r="E83" s="3">
        <f>D83/D144*100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30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31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44</v>
      </c>
      <c r="B86" s="61"/>
      <c r="C86" s="53">
        <f>SUM(C87:C88)</f>
        <v>0</v>
      </c>
      <c r="D86" s="53">
        <f>SUM(D87:D88)</f>
        <v>0</v>
      </c>
      <c r="E86" s="3">
        <f>D86/D144*100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30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31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v>28943.3</v>
      </c>
      <c r="C89" s="53">
        <f>47925.9+539.6+110+168.6+27</f>
        <v>48771.1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+79.9+12.7+384.6+272+560.3+6.6+23.5+71.3+3.1+55.7+12.1+9.9+24.6+1303.7+813.1+11.6+0.3+74.3+27.7+86+28.9+58.7+133.8+815+170.1+337.9+7+277+5.2+80.3+19.2+7.4+16.9+0.9+357.9+1273.6+494.4+32.3-0.2+18.3+264.8+18.3+95.4+35+79.5+16.1+218.6+977.7+186.6+34.9+31.2+22.2+25.9+58.1+9+8.4+986.9+517+364.4</f>
        <v>27049.5</v>
      </c>
      <c r="E89" s="3">
        <f>D89/D144*100</f>
        <v>5.331463508857686</v>
      </c>
      <c r="F89" s="3">
        <f aca="true" t="shared" si="10" ref="F89:F95">D89/B89*100</f>
        <v>93.45686220990696</v>
      </c>
      <c r="G89" s="3">
        <f t="shared" si="8"/>
        <v>55.46214869051549</v>
      </c>
      <c r="H89" s="3">
        <f aca="true" t="shared" si="11" ref="H89:H95">B89-D89</f>
        <v>1893.7999999999993</v>
      </c>
      <c r="I89" s="3">
        <f t="shared" si="9"/>
        <v>21721.6</v>
      </c>
    </row>
    <row r="90" spans="1:9" ht="18">
      <c r="A90" s="29" t="s">
        <v>3</v>
      </c>
      <c r="B90" s="49">
        <f>23506.7+38.7+8</f>
        <v>23553.4</v>
      </c>
      <c r="C90" s="50">
        <v>39638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+36.4+185.9+977.6+184.1+12.7+18.8+25.9+33.9+945.4+490.4+353.4</f>
        <v>23220.700000000004</v>
      </c>
      <c r="E90" s="1">
        <f>D90/D89*100</f>
        <v>85.84520970812771</v>
      </c>
      <c r="F90" s="1">
        <f t="shared" si="10"/>
        <v>98.58746507935162</v>
      </c>
      <c r="G90" s="1">
        <f t="shared" si="8"/>
        <v>58.581916342903284</v>
      </c>
      <c r="H90" s="1">
        <f t="shared" si="11"/>
        <v>332.6999999999971</v>
      </c>
      <c r="I90" s="1">
        <f t="shared" si="9"/>
        <v>16417.299999999996</v>
      </c>
    </row>
    <row r="91" spans="1:9" ht="18">
      <c r="A91" s="29" t="s">
        <v>33</v>
      </c>
      <c r="B91" s="49">
        <f>1385.5-2</f>
        <v>1383.5</v>
      </c>
      <c r="C91" s="50">
        <f>2406.5+168.6</f>
        <v>2575.1</v>
      </c>
      <c r="D91" s="51">
        <f>15.4+0.6+1.6+3.7+2.5+4.3+0.4+4.2+0.8+56.6+102.4+16.1+0.1+47.1+38.8+64+59.3+87.7+34.7+0.6+1.8+42.3+4.4+28.7+17.2+4.1-0.1+9.5+0.7+0.1+0.5+30+263.7+3+9.9+2.9+6.4+6.5+8.4+8+5.1+0.6+0.6</f>
        <v>995.1999999999999</v>
      </c>
      <c r="E91" s="1">
        <f>D91/D89*100</f>
        <v>3.679180761197064</v>
      </c>
      <c r="F91" s="1">
        <f t="shared" si="10"/>
        <v>71.93350198771232</v>
      </c>
      <c r="G91" s="1">
        <f t="shared" si="8"/>
        <v>38.647042833288026</v>
      </c>
      <c r="H91" s="1">
        <f t="shared" si="11"/>
        <v>388.30000000000007</v>
      </c>
      <c r="I91" s="1">
        <f t="shared" si="9"/>
        <v>1579.9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35</v>
      </c>
      <c r="B93" s="50">
        <f>B89-B90-B91-B92</f>
        <v>4006.399999999998</v>
      </c>
      <c r="C93" s="50">
        <f>C89-C90-C91-C92</f>
        <v>6557.999999999998</v>
      </c>
      <c r="D93" s="50">
        <f>D89-D90-D91-D92</f>
        <v>2833.599999999996</v>
      </c>
      <c r="E93" s="1">
        <f>D93/D89*100</f>
        <v>10.475609530675229</v>
      </c>
      <c r="F93" s="1">
        <f t="shared" si="10"/>
        <v>70.7268370607028</v>
      </c>
      <c r="G93" s="1">
        <f>D93/C93*100</f>
        <v>43.20829521195481</v>
      </c>
      <c r="H93" s="1">
        <f t="shared" si="11"/>
        <v>1172.800000000002</v>
      </c>
      <c r="I93" s="1">
        <f>C93-D93</f>
        <v>3724.4000000000024</v>
      </c>
    </row>
    <row r="94" spans="1:9" ht="18.75">
      <c r="A94" s="122" t="s">
        <v>12</v>
      </c>
      <c r="B94" s="127">
        <f>31335.6+1000</f>
        <v>32335.6</v>
      </c>
      <c r="C94" s="129">
        <f>48638.3+1900-424+424</f>
        <v>50538.3</v>
      </c>
      <c r="D94" s="128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+100.5+447.9+220.2+131.1+62+105.3+20.8+138.1+75.9+1121.6+56</f>
        <v>31137.200000000004</v>
      </c>
      <c r="E94" s="121">
        <f>D94/D144*100</f>
        <v>6.137150245586926</v>
      </c>
      <c r="F94" s="125">
        <f t="shared" si="10"/>
        <v>96.29386805873405</v>
      </c>
      <c r="G94" s="120">
        <f>D94/C94*100</f>
        <v>61.611094951749465</v>
      </c>
      <c r="H94" s="126">
        <f t="shared" si="11"/>
        <v>1198.3999999999942</v>
      </c>
      <c r="I94" s="121">
        <f>C94-D94</f>
        <v>19401.1</v>
      </c>
    </row>
    <row r="95" spans="1:9" ht="18.75" thickBot="1">
      <c r="A95" s="123" t="s">
        <v>110</v>
      </c>
      <c r="B95" s="130">
        <v>2819</v>
      </c>
      <c r="C95" s="131">
        <f>4853.7+35</f>
        <v>4888.7</v>
      </c>
      <c r="D95" s="132">
        <f>600+69+9+48.5+2.5+299.7+50.5+190.4+1.3+10.6+6.7+53.3-0.1+0.9+266.8+7.4+4.8+52.9+0.1+200.2+15.7+7.1+5.9+55+13+150.2+100.5+23.9+52.6+56</f>
        <v>2354.4</v>
      </c>
      <c r="E95" s="133">
        <f>D95/D94*100</f>
        <v>7.561373533907993</v>
      </c>
      <c r="F95" s="134">
        <f t="shared" si="10"/>
        <v>83.51897836112097</v>
      </c>
      <c r="G95" s="135">
        <f>D95/C95*100</f>
        <v>48.16004254709841</v>
      </c>
      <c r="H95" s="124">
        <f t="shared" si="11"/>
        <v>464.5999999999999</v>
      </c>
      <c r="I95" s="96">
        <f>C95-D95</f>
        <v>2534.2999999999997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46</v>
      </c>
      <c r="B97" s="75"/>
      <c r="C97" s="76"/>
      <c r="D97" s="77"/>
      <c r="E97" s="3">
        <f>D97/D144*100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66</v>
      </c>
      <c r="B99" s="61"/>
      <c r="C99" s="53"/>
      <c r="D99" s="54"/>
      <c r="E99" s="3">
        <f>D99/D144*100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3"/>
      <c r="B100" s="114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v>5430.1</v>
      </c>
      <c r="C101" s="104">
        <f>6061.2+4589.8-16.4-3.1+0.1-234</f>
        <v>10397.6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+119.9+41.5+76.2+82.4+0.3+42.7+6.8+250.5</f>
        <v>3579.7999999999997</v>
      </c>
      <c r="E101" s="25">
        <f>D101/D144*100</f>
        <v>0.7055795141872767</v>
      </c>
      <c r="F101" s="25">
        <f>D101/B101*100</f>
        <v>65.92512108432625</v>
      </c>
      <c r="G101" s="25">
        <f aca="true" t="shared" si="12" ref="G101:G142">D101/C101*100</f>
        <v>34.429099022851425</v>
      </c>
      <c r="H101" s="25">
        <f aca="true" t="shared" si="13" ref="H101:H106">B101-D101</f>
        <v>1850.3000000000006</v>
      </c>
      <c r="I101" s="25">
        <f aca="true" t="shared" si="14" ref="I101:I142">C101-D101</f>
        <v>6817.800000000001</v>
      </c>
    </row>
    <row r="102" spans="1:9" ht="18" hidden="1">
      <c r="A102" s="91" t="s">
        <v>64</v>
      </c>
      <c r="B102" s="101"/>
      <c r="C102" s="99"/>
      <c r="D102" s="99"/>
      <c r="E102" s="95">
        <f>D102/D101*100</f>
        <v>0</v>
      </c>
      <c r="F102" s="116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63</v>
      </c>
      <c r="B103" s="81">
        <v>4891</v>
      </c>
      <c r="C103" s="51">
        <f>5036.9+4586-16.4-3.1+0.1-234</f>
        <v>9369.5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+119.7+41.2+75.7+81.9+0.3+4+6.7+241.8</f>
        <v>3224.4</v>
      </c>
      <c r="E103" s="1">
        <f>D103/D101*100</f>
        <v>90.07207106542265</v>
      </c>
      <c r="F103" s="1">
        <f aca="true" t="shared" si="15" ref="F103:F142">D103/B103*100</f>
        <v>65.92516867716213</v>
      </c>
      <c r="G103" s="1">
        <f t="shared" si="12"/>
        <v>34.413789423128236</v>
      </c>
      <c r="H103" s="1">
        <f t="shared" si="13"/>
        <v>1666.6</v>
      </c>
      <c r="I103" s="1">
        <f t="shared" si="14"/>
        <v>6145.1</v>
      </c>
    </row>
    <row r="104" spans="1:9" ht="54.75" hidden="1" thickBot="1">
      <c r="A104" s="98" t="s">
        <v>101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35</v>
      </c>
      <c r="B105" s="100">
        <f>B101-B102-B103</f>
        <v>539.1000000000004</v>
      </c>
      <c r="C105" s="100">
        <f>C101-C102-C103</f>
        <v>1028.1000000000004</v>
      </c>
      <c r="D105" s="100">
        <f>D101-D102-D103</f>
        <v>355.39999999999964</v>
      </c>
      <c r="E105" s="96">
        <f>D105/D101*100</f>
        <v>9.927928934577341</v>
      </c>
      <c r="F105" s="96">
        <f t="shared" si="15"/>
        <v>65.92468929697634</v>
      </c>
      <c r="G105" s="96">
        <f t="shared" si="12"/>
        <v>34.56862172940371</v>
      </c>
      <c r="H105" s="96">
        <f>B105-D105</f>
        <v>183.70000000000073</v>
      </c>
      <c r="I105" s="96">
        <f t="shared" si="14"/>
        <v>672.7000000000007</v>
      </c>
    </row>
    <row r="106" spans="1:9" s="2" customFormat="1" ht="26.25" customHeight="1" thickBot="1">
      <c r="A106" s="92" t="s">
        <v>36</v>
      </c>
      <c r="B106" s="93">
        <f>SUM(B107:B141)-B114-B118+B142-B134-B135-B108-B111-B121-B122-B132</f>
        <v>96716.1</v>
      </c>
      <c r="C106" s="93">
        <f>SUM(C107:C141)-C114-C118+C142-C134-C135-C108-C111-C121-C122-C132</f>
        <v>149819.9</v>
      </c>
      <c r="D106" s="93">
        <f>SUM(D107:D141)-D114-D118+D142-D134-D135-D108-D111-D121-D122-D132</f>
        <v>71934.99999999999</v>
      </c>
      <c r="E106" s="94">
        <f>D106/D144*100</f>
        <v>14.178407272211224</v>
      </c>
      <c r="F106" s="94">
        <f>D106/B106*100</f>
        <v>74.37748213585948</v>
      </c>
      <c r="G106" s="94">
        <f t="shared" si="12"/>
        <v>48.014315855236845</v>
      </c>
      <c r="H106" s="94">
        <f t="shared" si="13"/>
        <v>24781.10000000002</v>
      </c>
      <c r="I106" s="94">
        <f t="shared" si="14"/>
        <v>77884.90000000001</v>
      </c>
    </row>
    <row r="107" spans="1:9" ht="37.5">
      <c r="A107" s="34" t="s">
        <v>67</v>
      </c>
      <c r="B107" s="78">
        <v>1136.5</v>
      </c>
      <c r="C107" s="74">
        <f>1662.5+137.3</f>
        <v>1799.8</v>
      </c>
      <c r="D107" s="79">
        <f>114.2+9+1.8-0.1+90.7+22.4+38.1+76.9+3.3+8.3+1.4+33.8+39+2.5+0.1+67.3+0.2+4+0.9+2.5+0.8+0.4+3.1+0.1+83.9+1.4+0.8+11.2+0.6+1.6+3.2+0.1+20.5+2.5+1.1+0.8+0.1+0.1+0.2+0.1+43.5+0.8+2.1+1+2.3+4.8+1.1</f>
        <v>704.5000000000001</v>
      </c>
      <c r="E107" s="6">
        <f>D107/D106*100</f>
        <v>0.9793563633836105</v>
      </c>
      <c r="F107" s="6">
        <f t="shared" si="15"/>
        <v>61.988561372635296</v>
      </c>
      <c r="G107" s="6">
        <f t="shared" si="12"/>
        <v>39.14323813757085</v>
      </c>
      <c r="H107" s="6">
        <f aca="true" t="shared" si="16" ref="H107:H142">B107-D107</f>
        <v>431.9999999999999</v>
      </c>
      <c r="I107" s="6">
        <f t="shared" si="14"/>
        <v>1095.2999999999997</v>
      </c>
    </row>
    <row r="108" spans="1:9" ht="18">
      <c r="A108" s="29" t="s">
        <v>33</v>
      </c>
      <c r="B108" s="81">
        <v>475</v>
      </c>
      <c r="C108" s="51">
        <v>823.7</v>
      </c>
      <c r="D108" s="82">
        <f>96.8+90.7+64.1+48.5+58.1+15.9+13.5</f>
        <v>387.6</v>
      </c>
      <c r="E108" s="1"/>
      <c r="F108" s="1">
        <f t="shared" si="15"/>
        <v>81.60000000000001</v>
      </c>
      <c r="G108" s="1">
        <f t="shared" si="12"/>
        <v>47.055966978268785</v>
      </c>
      <c r="H108" s="1">
        <f t="shared" si="16"/>
        <v>87.39999999999998</v>
      </c>
      <c r="I108" s="1">
        <f t="shared" si="14"/>
        <v>436.1</v>
      </c>
    </row>
    <row r="109" spans="1:9" ht="34.5" customHeight="1">
      <c r="A109" s="17" t="s">
        <v>100</v>
      </c>
      <c r="B109" s="80">
        <v>514.1</v>
      </c>
      <c r="C109" s="68">
        <v>903.8</v>
      </c>
      <c r="D109" s="79">
        <f>20.7+31.6+0.1+27.7-0.1+31.4+0.1+10.6+34.1+43.9</f>
        <v>200.1</v>
      </c>
      <c r="E109" s="6">
        <f>D109/D106*100</f>
        <v>0.27816779036630296</v>
      </c>
      <c r="F109" s="6">
        <f>D109/B109*100</f>
        <v>38.92238864034234</v>
      </c>
      <c r="G109" s="6">
        <f t="shared" si="12"/>
        <v>22.139853949988936</v>
      </c>
      <c r="H109" s="6">
        <f t="shared" si="16"/>
        <v>314</v>
      </c>
      <c r="I109" s="6">
        <f t="shared" si="14"/>
        <v>703.6999999999999</v>
      </c>
    </row>
    <row r="110" spans="1:9" s="44" customFormat="1" ht="34.5" customHeight="1">
      <c r="A110" s="17" t="s">
        <v>75</v>
      </c>
      <c r="B110" s="80">
        <v>56.9</v>
      </c>
      <c r="C110" s="60">
        <f>71.8+12.8</f>
        <v>84.6</v>
      </c>
      <c r="D110" s="83">
        <f>5.3+5.3+0.5+1.7+6+6</f>
        <v>24.799999999999997</v>
      </c>
      <c r="E110" s="6">
        <f>D110/D106*100</f>
        <v>0.03447556822131091</v>
      </c>
      <c r="F110" s="6">
        <f t="shared" si="15"/>
        <v>43.58523725834797</v>
      </c>
      <c r="G110" s="6">
        <f t="shared" si="12"/>
        <v>29.314420803782504</v>
      </c>
      <c r="H110" s="6">
        <f t="shared" si="16"/>
        <v>32.1</v>
      </c>
      <c r="I110" s="6">
        <f t="shared" si="14"/>
        <v>59.8</v>
      </c>
    </row>
    <row r="111" spans="1:9" ht="18" hidden="1">
      <c r="A111" s="29" t="s">
        <v>33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74</v>
      </c>
      <c r="B112" s="80">
        <v>39.2</v>
      </c>
      <c r="C112" s="68">
        <v>67.4</v>
      </c>
      <c r="D112" s="79">
        <f>5.5+5.4+5.5+5.5+5.5+5.5-0.1+2.7</f>
        <v>35.5</v>
      </c>
      <c r="E112" s="6">
        <f>D112/D106*100</f>
        <v>0.0493501077361507</v>
      </c>
      <c r="F112" s="6">
        <f t="shared" si="15"/>
        <v>90.5612244897959</v>
      </c>
      <c r="G112" s="6">
        <f t="shared" si="12"/>
        <v>52.67062314540058</v>
      </c>
      <c r="H112" s="6">
        <f t="shared" si="16"/>
        <v>3.700000000000003</v>
      </c>
      <c r="I112" s="6">
        <f t="shared" si="14"/>
        <v>31.900000000000006</v>
      </c>
    </row>
    <row r="113" spans="1:9" ht="37.5">
      <c r="A113" s="17" t="s">
        <v>47</v>
      </c>
      <c r="B113" s="80">
        <v>917.6</v>
      </c>
      <c r="C113" s="68">
        <v>1532.5</v>
      </c>
      <c r="D113" s="79">
        <f>96.4+0.6+6.3+86+10.4+21.5+5.3+0.1+11.6+102.1+10.6+3.5+5.6+100.7+13.3+0.9+3.6+96.9-0.1+15.7+1.7+1+96.8+0.1+4+1+0.2+1.2+96.6</f>
        <v>793.6000000000003</v>
      </c>
      <c r="E113" s="6">
        <f>D113/D106*100</f>
        <v>1.1032181830819494</v>
      </c>
      <c r="F113" s="6">
        <f t="shared" si="15"/>
        <v>86.48648648648651</v>
      </c>
      <c r="G113" s="6">
        <f t="shared" si="12"/>
        <v>51.78466557911911</v>
      </c>
      <c r="H113" s="6">
        <f t="shared" si="16"/>
        <v>123.99999999999977</v>
      </c>
      <c r="I113" s="6">
        <f t="shared" si="14"/>
        <v>738.8999999999997</v>
      </c>
    </row>
    <row r="114" spans="1:9" ht="18" hidden="1">
      <c r="A114" s="40" t="s">
        <v>54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60</v>
      </c>
      <c r="B115" s="80">
        <v>36</v>
      </c>
      <c r="C115" s="60">
        <v>36</v>
      </c>
      <c r="D115" s="83">
        <v>36</v>
      </c>
      <c r="E115" s="19">
        <f>D115/D106*100</f>
        <v>0.050045179676096486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59</v>
      </c>
      <c r="B116" s="80">
        <v>199.2</v>
      </c>
      <c r="C116" s="68">
        <v>245.2</v>
      </c>
      <c r="D116" s="79">
        <f>19.1+40</f>
        <v>59.1</v>
      </c>
      <c r="E116" s="6">
        <f>D116/D106*100</f>
        <v>0.08215750330159173</v>
      </c>
      <c r="F116" s="6">
        <f>D116/B116*100</f>
        <v>29.668674698795183</v>
      </c>
      <c r="G116" s="6">
        <f t="shared" si="12"/>
        <v>24.10277324632953</v>
      </c>
      <c r="H116" s="6">
        <f t="shared" si="16"/>
        <v>140.1</v>
      </c>
      <c r="I116" s="6">
        <f t="shared" si="14"/>
        <v>186.1</v>
      </c>
    </row>
    <row r="117" spans="1:9" s="2" customFormat="1" ht="18.75">
      <c r="A117" s="17" t="s">
        <v>16</v>
      </c>
      <c r="B117" s="80">
        <f>132.4+16.7</f>
        <v>149.1</v>
      </c>
      <c r="C117" s="60">
        <f>199.6+4.8</f>
        <v>204.4</v>
      </c>
      <c r="D117" s="79">
        <f>1.6+18.3+17.8+0.8+2.2+4+0.6+16.7+3.7+3.6+16.7+3.4+1.3+16.7+2.9+0.8+16.7+0.1+0.8+1.3+16.7</f>
        <v>146.70000000000002</v>
      </c>
      <c r="E117" s="6">
        <f>D117/D106*100</f>
        <v>0.2039341071800932</v>
      </c>
      <c r="F117" s="6">
        <f t="shared" si="15"/>
        <v>98.3903420523139</v>
      </c>
      <c r="G117" s="6">
        <f t="shared" si="12"/>
        <v>71.77103718199609</v>
      </c>
      <c r="H117" s="6">
        <f t="shared" si="16"/>
        <v>2.3999999999999773</v>
      </c>
      <c r="I117" s="6">
        <f t="shared" si="14"/>
        <v>57.69999999999999</v>
      </c>
    </row>
    <row r="118" spans="1:9" s="39" customFormat="1" ht="18">
      <c r="A118" s="40" t="s">
        <v>54</v>
      </c>
      <c r="B118" s="81">
        <f>100.3+16.7</f>
        <v>117</v>
      </c>
      <c r="C118" s="51">
        <v>150.8</v>
      </c>
      <c r="D118" s="82">
        <f>16.7+16.7+16.7+16.7+16.7+16.7+16.7</f>
        <v>116.9</v>
      </c>
      <c r="E118" s="1"/>
      <c r="F118" s="1">
        <f t="shared" si="15"/>
        <v>99.91452991452991</v>
      </c>
      <c r="G118" s="1">
        <f t="shared" si="12"/>
        <v>77.51989389920423</v>
      </c>
      <c r="H118" s="1">
        <f t="shared" si="16"/>
        <v>0.09999999999999432</v>
      </c>
      <c r="I118" s="1">
        <f t="shared" si="14"/>
        <v>33.900000000000006</v>
      </c>
    </row>
    <row r="119" spans="1:9" s="2" customFormat="1" ht="18.75">
      <c r="A119" s="17" t="s">
        <v>25</v>
      </c>
      <c r="B119" s="80">
        <v>964.6</v>
      </c>
      <c r="C119" s="60">
        <f>1468.8+249.6</f>
        <v>1718.3999999999999</v>
      </c>
      <c r="D119" s="79">
        <f>249.6+108.7+40</f>
        <v>398.3</v>
      </c>
      <c r="E119" s="6">
        <f>D119/D106*100</f>
        <v>0.5536943073608119</v>
      </c>
      <c r="F119" s="6">
        <f t="shared" si="15"/>
        <v>41.29172714078375</v>
      </c>
      <c r="G119" s="6">
        <f t="shared" si="12"/>
        <v>23.178538175046555</v>
      </c>
      <c r="H119" s="6">
        <f t="shared" si="16"/>
        <v>566.3</v>
      </c>
      <c r="I119" s="6">
        <f t="shared" si="14"/>
        <v>1320.1</v>
      </c>
    </row>
    <row r="120" spans="1:9" s="2" customFormat="1" ht="21.75" customHeight="1">
      <c r="A120" s="17" t="s">
        <v>45</v>
      </c>
      <c r="B120" s="80">
        <v>1241.4</v>
      </c>
      <c r="C120" s="60">
        <f>628+70+553</f>
        <v>1251</v>
      </c>
      <c r="D120" s="83">
        <f>110.6+553+71.8</f>
        <v>735.4</v>
      </c>
      <c r="E120" s="19">
        <f>D120/D106*100</f>
        <v>1.0223118092722598</v>
      </c>
      <c r="F120" s="6">
        <f t="shared" si="15"/>
        <v>59.239568229418396</v>
      </c>
      <c r="G120" s="6">
        <f t="shared" si="12"/>
        <v>58.784972022382085</v>
      </c>
      <c r="H120" s="6">
        <f t="shared" si="16"/>
        <v>506.0000000000001</v>
      </c>
      <c r="I120" s="6">
        <f t="shared" si="14"/>
        <v>515.6</v>
      </c>
    </row>
    <row r="121" spans="1:9" s="115" customFormat="1" ht="18">
      <c r="A121" s="29" t="s">
        <v>102</v>
      </c>
      <c r="B121" s="81">
        <v>70</v>
      </c>
      <c r="C121" s="51">
        <v>70</v>
      </c>
      <c r="D121" s="82"/>
      <c r="E121" s="6"/>
      <c r="F121" s="1">
        <f>D121/B121*100</f>
        <v>0</v>
      </c>
      <c r="G121" s="1">
        <f t="shared" si="12"/>
        <v>0</v>
      </c>
      <c r="H121" s="1">
        <f t="shared" si="16"/>
        <v>70</v>
      </c>
      <c r="I121" s="1">
        <f t="shared" si="14"/>
        <v>70</v>
      </c>
    </row>
    <row r="122" spans="1:9" s="115" customFormat="1" ht="18" hidden="1">
      <c r="A122" s="29" t="s">
        <v>64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49</v>
      </c>
      <c r="B123" s="80">
        <v>1609.1</v>
      </c>
      <c r="C123" s="60">
        <v>2933.8</v>
      </c>
      <c r="D123" s="83">
        <f>21+0.9+174.2+5+11.4+16.5-0.1+809.5+345.2</f>
        <v>1383.6000000000001</v>
      </c>
      <c r="E123" s="19">
        <f>D123/D106*100</f>
        <v>1.9234030722179754</v>
      </c>
      <c r="F123" s="6">
        <f t="shared" si="15"/>
        <v>85.98595488161085</v>
      </c>
      <c r="G123" s="6">
        <f t="shared" si="12"/>
        <v>47.16067898288909</v>
      </c>
      <c r="H123" s="6">
        <f t="shared" si="16"/>
        <v>225.49999999999977</v>
      </c>
      <c r="I123" s="6">
        <f t="shared" si="14"/>
        <v>1550.2</v>
      </c>
    </row>
    <row r="124" spans="1:9" s="2" customFormat="1" ht="56.25">
      <c r="A124" s="17" t="s">
        <v>56</v>
      </c>
      <c r="B124" s="80">
        <v>129.9</v>
      </c>
      <c r="C124" s="60">
        <v>129.9</v>
      </c>
      <c r="D124" s="83">
        <v>129.9</v>
      </c>
      <c r="E124" s="19">
        <f>D124/D106*100</f>
        <v>0.18057968999791482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98</v>
      </c>
      <c r="B125" s="80">
        <v>2</v>
      </c>
      <c r="C125" s="60">
        <v>2</v>
      </c>
      <c r="D125" s="83">
        <v>2</v>
      </c>
      <c r="E125" s="19">
        <f>D125/D106*100</f>
        <v>0.002780287759783138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112</v>
      </c>
      <c r="B126" s="80">
        <f>235.3-16.7</f>
        <v>218.60000000000002</v>
      </c>
      <c r="C126" s="60">
        <v>332.3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218.60000000000002</v>
      </c>
      <c r="I126" s="6">
        <f t="shared" si="14"/>
        <v>332.3</v>
      </c>
    </row>
    <row r="127" spans="1:9" s="2" customFormat="1" ht="37.5">
      <c r="A127" s="17" t="s">
        <v>78</v>
      </c>
      <c r="B127" s="80">
        <v>338.4</v>
      </c>
      <c r="C127" s="60">
        <f>101.4+27.9+634</f>
        <v>763.3</v>
      </c>
      <c r="D127" s="83">
        <f>3+3+4.9+21.9-0.1+12.2+1.6+6.9+7.8+0.7+8.4+2.4+5+2.4+0.1+5.6+2.4+0.1+5+2.4</f>
        <v>95.7</v>
      </c>
      <c r="E127" s="19">
        <f>D127/D106*100</f>
        <v>0.13303676930562316</v>
      </c>
      <c r="F127" s="6">
        <f t="shared" si="15"/>
        <v>28.280141843971634</v>
      </c>
      <c r="G127" s="6">
        <f t="shared" si="12"/>
        <v>12.53766540023582</v>
      </c>
      <c r="H127" s="6">
        <f t="shared" si="16"/>
        <v>242.7</v>
      </c>
      <c r="I127" s="6">
        <f t="shared" si="14"/>
        <v>667.5999999999999</v>
      </c>
    </row>
    <row r="128" spans="1:9" s="2" customFormat="1" ht="18.75">
      <c r="A128" s="17" t="s">
        <v>72</v>
      </c>
      <c r="B128" s="80">
        <v>415.2</v>
      </c>
      <c r="C128" s="60">
        <v>650</v>
      </c>
      <c r="D128" s="83">
        <f>8.7+23.6+6.2+5.1+38.5+4.6+4.8+8.6+12.9+2.8+0.1+16.3+3+2.5+6.2-0.2+39.7+9.9+9.5+37.2</f>
        <v>240</v>
      </c>
      <c r="E128" s="19">
        <f>D128/D106*100</f>
        <v>0.33363453117397657</v>
      </c>
      <c r="F128" s="6">
        <f t="shared" si="15"/>
        <v>57.80346820809249</v>
      </c>
      <c r="G128" s="6">
        <f t="shared" si="12"/>
        <v>36.92307692307693</v>
      </c>
      <c r="H128" s="6">
        <f t="shared" si="16"/>
        <v>175.2</v>
      </c>
      <c r="I128" s="6">
        <f t="shared" si="14"/>
        <v>410</v>
      </c>
    </row>
    <row r="129" spans="1:9" s="2" customFormat="1" ht="35.25" customHeight="1">
      <c r="A129" s="17" t="s">
        <v>71</v>
      </c>
      <c r="B129" s="80">
        <v>61.5</v>
      </c>
      <c r="C129" s="60">
        <f>171.5+14.8-110</f>
        <v>76.30000000000001</v>
      </c>
      <c r="D129" s="83">
        <f>5.6+5.6+3.5+1.3+1.8+0.1+2.5+14.8</f>
        <v>35.2</v>
      </c>
      <c r="E129" s="19">
        <f>D129/D106*100</f>
        <v>0.048933064572183244</v>
      </c>
      <c r="F129" s="6">
        <f t="shared" si="15"/>
        <v>57.23577235772358</v>
      </c>
      <c r="G129" s="6">
        <f t="shared" si="12"/>
        <v>46.13368283093053</v>
      </c>
      <c r="H129" s="6">
        <f t="shared" si="16"/>
        <v>26.299999999999997</v>
      </c>
      <c r="I129" s="6">
        <f t="shared" si="14"/>
        <v>41.10000000000001</v>
      </c>
    </row>
    <row r="130" spans="1:9" s="2" customFormat="1" ht="35.25" customHeight="1">
      <c r="A130" s="17" t="s">
        <v>73</v>
      </c>
      <c r="B130" s="80">
        <v>80</v>
      </c>
      <c r="C130" s="60">
        <v>220</v>
      </c>
      <c r="D130" s="83"/>
      <c r="E130" s="19">
        <f>D130/D106*100</f>
        <v>0</v>
      </c>
      <c r="F130" s="117">
        <f t="shared" si="15"/>
        <v>0</v>
      </c>
      <c r="G130" s="6">
        <f t="shared" si="12"/>
        <v>0</v>
      </c>
      <c r="H130" s="6">
        <f t="shared" si="16"/>
        <v>80</v>
      </c>
      <c r="I130" s="6">
        <f t="shared" si="14"/>
        <v>220</v>
      </c>
    </row>
    <row r="131" spans="1:9" s="2" customFormat="1" ht="37.5">
      <c r="A131" s="17" t="s">
        <v>111</v>
      </c>
      <c r="B131" s="80">
        <v>265.1</v>
      </c>
      <c r="C131" s="60">
        <v>265.1</v>
      </c>
      <c r="D131" s="83">
        <f>59.9+7.6+10.7+6.3+5.3+38.1+4+0.1+1.7+3.6+39.2+1.5</f>
        <v>178</v>
      </c>
      <c r="E131" s="19">
        <f>D131/D106*100</f>
        <v>0.24744561062069928</v>
      </c>
      <c r="F131" s="6">
        <f t="shared" si="15"/>
        <v>67.14447378347793</v>
      </c>
      <c r="G131" s="6">
        <f>D131/C131*100</f>
        <v>67.14447378347793</v>
      </c>
      <c r="H131" s="6">
        <f t="shared" si="16"/>
        <v>87.10000000000002</v>
      </c>
      <c r="I131" s="6">
        <f t="shared" si="14"/>
        <v>87.10000000000002</v>
      </c>
    </row>
    <row r="132" spans="1:9" s="39" customFormat="1" ht="18">
      <c r="A132" s="29" t="s">
        <v>33</v>
      </c>
      <c r="B132" s="81">
        <v>64.2</v>
      </c>
      <c r="C132" s="51">
        <v>64.2</v>
      </c>
      <c r="D132" s="82">
        <f>7.6+0.3+4.8+38.1+4+0.1+0.1</f>
        <v>55</v>
      </c>
      <c r="E132" s="1"/>
      <c r="F132" s="1">
        <f t="shared" si="15"/>
        <v>85.66978193146417</v>
      </c>
      <c r="G132" s="1">
        <f>D132/C132*100</f>
        <v>85.66978193146417</v>
      </c>
      <c r="H132" s="1">
        <f t="shared" si="16"/>
        <v>9.200000000000003</v>
      </c>
      <c r="I132" s="1">
        <f t="shared" si="14"/>
        <v>9.200000000000003</v>
      </c>
    </row>
    <row r="133" spans="1:9" s="2" customFormat="1" ht="18.75">
      <c r="A133" s="17" t="s">
        <v>32</v>
      </c>
      <c r="B133" s="80">
        <v>581.8</v>
      </c>
      <c r="C133" s="60">
        <f>981.9+3.8</f>
        <v>985.6999999999999</v>
      </c>
      <c r="D133" s="83">
        <f>21.9+41.8+0.1+6.1+26+3.6+0.1+41-0.1+21.3+6.2+7.1+43.4+4.5+8.8+48.5+7.5+32.1+0.1+41.9+8.4+5.1+33.1+1.3+25.6+4.3+48.8+5.3+25.6+1.9+53.3</f>
        <v>574.6</v>
      </c>
      <c r="E133" s="19">
        <f>D133/D106*100</f>
        <v>0.7987766733856957</v>
      </c>
      <c r="F133" s="6">
        <f t="shared" si="15"/>
        <v>98.76246132691648</v>
      </c>
      <c r="G133" s="6">
        <f t="shared" si="12"/>
        <v>58.29359845794867</v>
      </c>
      <c r="H133" s="6">
        <f t="shared" si="16"/>
        <v>7.199999999999932</v>
      </c>
      <c r="I133" s="6">
        <f t="shared" si="14"/>
        <v>411.0999999999999</v>
      </c>
    </row>
    <row r="134" spans="1:9" s="39" customFormat="1" ht="18">
      <c r="A134" s="40" t="s">
        <v>54</v>
      </c>
      <c r="B134" s="81">
        <v>501.5</v>
      </c>
      <c r="C134" s="51">
        <v>848.7</v>
      </c>
      <c r="D134" s="82">
        <f>21.9+39.7+0.1+6.1+19+41-0.1+21.3+43.3+8.5+32.3+32.1+41.5+4.2+33.1+25.6+47+0.1+25.6+53.3</f>
        <v>495.60000000000014</v>
      </c>
      <c r="E134" s="1">
        <f>D134/D133*100</f>
        <v>86.25130525583018</v>
      </c>
      <c r="F134" s="1">
        <f aca="true" t="shared" si="17" ref="F134:F141">D134/B134*100</f>
        <v>98.82352941176474</v>
      </c>
      <c r="G134" s="1">
        <f t="shared" si="12"/>
        <v>58.39519264757867</v>
      </c>
      <c r="H134" s="1">
        <f t="shared" si="16"/>
        <v>5.899999999999864</v>
      </c>
      <c r="I134" s="1">
        <f t="shared" si="14"/>
        <v>353.0999999999999</v>
      </c>
    </row>
    <row r="135" spans="1:9" s="39" customFormat="1" ht="18">
      <c r="A135" s="29" t="s">
        <v>33</v>
      </c>
      <c r="B135" s="81">
        <v>21.8</v>
      </c>
      <c r="C135" s="51">
        <v>26.3</v>
      </c>
      <c r="D135" s="82">
        <f>7+6+0.2+7.1+0.1+0.4+0.3+0.1+0.3</f>
        <v>21.5</v>
      </c>
      <c r="E135" s="1">
        <f>D135/D133*100</f>
        <v>3.741733379742429</v>
      </c>
      <c r="F135" s="1">
        <f t="shared" si="17"/>
        <v>98.62385321100918</v>
      </c>
      <c r="G135" s="1">
        <f>D135/C135*100</f>
        <v>81.74904942965779</v>
      </c>
      <c r="H135" s="1">
        <f t="shared" si="16"/>
        <v>0.3000000000000007</v>
      </c>
      <c r="I135" s="1">
        <f t="shared" si="14"/>
        <v>4.800000000000001</v>
      </c>
    </row>
    <row r="136" spans="1:9" s="2" customFormat="1" ht="56.25">
      <c r="A136" s="23" t="s">
        <v>113</v>
      </c>
      <c r="B136" s="80">
        <v>200</v>
      </c>
      <c r="C136" s="60">
        <v>200</v>
      </c>
      <c r="D136" s="83">
        <v>200</v>
      </c>
      <c r="E136" s="19">
        <f>D136/D106*100</f>
        <v>0.2780287759783138</v>
      </c>
      <c r="F136" s="112">
        <f t="shared" si="17"/>
        <v>100</v>
      </c>
      <c r="G136" s="6">
        <f t="shared" si="12"/>
        <v>100</v>
      </c>
      <c r="H136" s="6">
        <f t="shared" si="16"/>
        <v>0</v>
      </c>
      <c r="I136" s="6">
        <f t="shared" si="14"/>
        <v>0</v>
      </c>
    </row>
    <row r="137" spans="1:9" s="2" customFormat="1" ht="18.75">
      <c r="A137" s="23" t="s">
        <v>109</v>
      </c>
      <c r="B137" s="80">
        <v>2200</v>
      </c>
      <c r="C137" s="60">
        <f>6500-2076-424</f>
        <v>4000</v>
      </c>
      <c r="D137" s="83">
        <f>241.3+64.6+48.1+278.9</f>
        <v>632.9</v>
      </c>
      <c r="E137" s="19">
        <f>D137/D106*100</f>
        <v>0.8798220615833741</v>
      </c>
      <c r="F137" s="112">
        <f t="shared" si="17"/>
        <v>28.768181818181816</v>
      </c>
      <c r="G137" s="6">
        <f t="shared" si="12"/>
        <v>15.8225</v>
      </c>
      <c r="H137" s="6">
        <f t="shared" si="16"/>
        <v>1567.1</v>
      </c>
      <c r="I137" s="6">
        <f t="shared" si="14"/>
        <v>3367.1</v>
      </c>
    </row>
    <row r="138" spans="1:9" s="2" customFormat="1" ht="18.75">
      <c r="A138" s="23" t="s">
        <v>117</v>
      </c>
      <c r="B138" s="80">
        <v>2727.5</v>
      </c>
      <c r="C138" s="60">
        <f>6082.6-959.5</f>
        <v>5123.1</v>
      </c>
      <c r="D138" s="83">
        <f>626.1+43.8+40.3+236+112.9+11.4-0.1+68.6+570.3+22.4+44.4+39.9+585.7+199.1+14+103.1+2.3</f>
        <v>2720.2000000000003</v>
      </c>
      <c r="E138" s="19">
        <f>D138/D106*100</f>
        <v>3.7814693820810463</v>
      </c>
      <c r="F138" s="112">
        <f t="shared" si="17"/>
        <v>99.73235563703025</v>
      </c>
      <c r="G138" s="6">
        <f t="shared" si="12"/>
        <v>53.09675782241221</v>
      </c>
      <c r="H138" s="6">
        <f t="shared" si="16"/>
        <v>7.299999999999727</v>
      </c>
      <c r="I138" s="6">
        <f t="shared" si="14"/>
        <v>2402.9</v>
      </c>
    </row>
    <row r="139" spans="1:9" s="2" customFormat="1" ht="18.75">
      <c r="A139" s="17" t="s">
        <v>27</v>
      </c>
      <c r="B139" s="80">
        <v>4188</v>
      </c>
      <c r="C139" s="60">
        <v>8376</v>
      </c>
      <c r="D139" s="83">
        <f>2094+2094</f>
        <v>4188</v>
      </c>
      <c r="E139" s="19">
        <f>D139/D106*100</f>
        <v>5.821922568985891</v>
      </c>
      <c r="F139" s="112">
        <f t="shared" si="17"/>
        <v>100</v>
      </c>
      <c r="G139" s="6">
        <f t="shared" si="12"/>
        <v>50</v>
      </c>
      <c r="H139" s="6">
        <f t="shared" si="16"/>
        <v>0</v>
      </c>
      <c r="I139" s="6">
        <f t="shared" si="14"/>
        <v>4188</v>
      </c>
    </row>
    <row r="140" spans="1:12" s="2" customFormat="1" ht="18.75" customHeight="1">
      <c r="A140" s="17" t="s">
        <v>99</v>
      </c>
      <c r="B140" s="80">
        <v>538.2</v>
      </c>
      <c r="C140" s="60">
        <v>538.2</v>
      </c>
      <c r="D140" s="83">
        <f>507.8+15.4+15</f>
        <v>538.2</v>
      </c>
      <c r="E140" s="19">
        <f>D140/D106*100</f>
        <v>0.7481754361576425</v>
      </c>
      <c r="F140" s="112">
        <f t="shared" si="17"/>
        <v>100</v>
      </c>
      <c r="G140" s="6">
        <f t="shared" si="12"/>
        <v>100</v>
      </c>
      <c r="H140" s="6">
        <f t="shared" si="16"/>
        <v>0</v>
      </c>
      <c r="I140" s="6">
        <f t="shared" si="14"/>
        <v>0</v>
      </c>
      <c r="K140" s="45"/>
      <c r="L140" s="45"/>
    </row>
    <row r="141" spans="1:12" s="2" customFormat="1" ht="19.5" customHeight="1">
      <c r="A141" s="17" t="s">
        <v>65</v>
      </c>
      <c r="B141" s="80">
        <v>64919.1</v>
      </c>
      <c r="C141" s="60">
        <f>91632.1+2530-27+23.1+959.5</f>
        <v>95117.70000000001</v>
      </c>
      <c r="D141" s="83">
        <f>500.9+20883.8+13804+7506.8+2189.4+1247.6</f>
        <v>46132.5</v>
      </c>
      <c r="E141" s="19">
        <f>D141/D106*100</f>
        <v>64.13081253909782</v>
      </c>
      <c r="F141" s="6">
        <f t="shared" si="17"/>
        <v>71.06152118559869</v>
      </c>
      <c r="G141" s="6">
        <f t="shared" si="12"/>
        <v>48.50043682721512</v>
      </c>
      <c r="H141" s="6">
        <f t="shared" si="16"/>
        <v>18786.6</v>
      </c>
      <c r="I141" s="6">
        <f t="shared" si="14"/>
        <v>48985.20000000001</v>
      </c>
      <c r="K141" s="103"/>
      <c r="L141" s="45"/>
    </row>
    <row r="142" spans="1:12" s="2" customFormat="1" ht="18.75">
      <c r="A142" s="17" t="s">
        <v>103</v>
      </c>
      <c r="B142" s="80">
        <v>12987.1</v>
      </c>
      <c r="C142" s="60">
        <v>22263.4</v>
      </c>
      <c r="D142" s="83">
        <f>1236.9+618.4+618.4+618.4+618.5+618.4+618.4+618.5+618.4+618.4+618.5+618.4+618.4+618.5+618.4+618.4+618.5+618.4</f>
        <v>11750.199999999997</v>
      </c>
      <c r="E142" s="19">
        <f>D142/D106*100</f>
        <v>16.33446861750191</v>
      </c>
      <c r="F142" s="6">
        <f t="shared" si="15"/>
        <v>90.47593381124344</v>
      </c>
      <c r="G142" s="6">
        <f t="shared" si="12"/>
        <v>52.77810217666662</v>
      </c>
      <c r="H142" s="6">
        <f t="shared" si="16"/>
        <v>1236.9000000000033</v>
      </c>
      <c r="I142" s="6">
        <f t="shared" si="14"/>
        <v>10513.200000000004</v>
      </c>
      <c r="K142" s="45"/>
      <c r="L142" s="45"/>
    </row>
    <row r="143" spans="1:12" s="2" customFormat="1" ht="19.5" thickBot="1">
      <c r="A143" s="41" t="s">
        <v>37</v>
      </c>
      <c r="B143" s="84">
        <f>B43+B68+B71+B76+B78+B86+B101+B106+B99+B83+B97</f>
        <v>102993.8</v>
      </c>
      <c r="C143" s="84">
        <f>C43+C68+C71+C76+C78+C86+C101+C106+C99+C83+C97</f>
        <v>161942.9</v>
      </c>
      <c r="D143" s="60">
        <f>D43+D68+D71+D76+D78+D86+D101+D106+D99+D83+D97</f>
        <v>76212.59999999999</v>
      </c>
      <c r="E143" s="19"/>
      <c r="F143" s="19"/>
      <c r="G143" s="6"/>
      <c r="H143" s="6"/>
      <c r="I143" s="20"/>
      <c r="K143" s="45"/>
      <c r="L143" s="45"/>
    </row>
    <row r="144" spans="1:12" ht="19.5" thickBot="1">
      <c r="A144" s="14" t="s">
        <v>19</v>
      </c>
      <c r="B144" s="54">
        <f>B6+B18+B33+B43+B51+B58+B68+B71+B76+B78+B86+B89+B94+B101+B106+B99+B83+B97+B45</f>
        <v>555485.3999999999</v>
      </c>
      <c r="C144" s="54">
        <f>C6+C18+C33+C43+C51+C58+C68+C71+C76+C78+C86+C89+C94+C101+C106+C99+C83+C97+C45</f>
        <v>896182.6000000001</v>
      </c>
      <c r="D144" s="54">
        <f>D6+D18+D33+D43+D51+D58+D68+D71+D76+D78+D86+D89+D94+D101+D106+D99+D83+D97+D45</f>
        <v>507356</v>
      </c>
      <c r="E144" s="38">
        <v>100</v>
      </c>
      <c r="F144" s="3">
        <f>D144/B144*100</f>
        <v>91.33561386131842</v>
      </c>
      <c r="G144" s="3">
        <f aca="true" t="shared" si="18" ref="G144:G150">D144/C144*100</f>
        <v>56.61301614202283</v>
      </c>
      <c r="H144" s="3">
        <f aca="true" t="shared" si="19" ref="H144:H150">B144-D144</f>
        <v>48129.39999999991</v>
      </c>
      <c r="I144" s="3">
        <f aca="true" t="shared" si="20" ref="I144:I150">C144-D144</f>
        <v>388826.6000000001</v>
      </c>
      <c r="K144" s="46"/>
      <c r="L144" s="47"/>
    </row>
    <row r="145" spans="1:12" ht="18.75">
      <c r="A145" s="23" t="s">
        <v>5</v>
      </c>
      <c r="B145" s="67">
        <f>B8+B20+B34+B52+B59+B90+B114+B118+B46+B134</f>
        <v>311215.80000000005</v>
      </c>
      <c r="C145" s="67">
        <f>C8+C20+C34+C52+C59+C90+C114+C118+C46+C134</f>
        <v>507335.6</v>
      </c>
      <c r="D145" s="67">
        <f>D8+D20+D34+D52+D59+D90+D114+D118+D46+D134</f>
        <v>308524.19999999995</v>
      </c>
      <c r="E145" s="6">
        <f>D145/D144*100</f>
        <v>60.810200332705236</v>
      </c>
      <c r="F145" s="6">
        <f aca="true" t="shared" si="21" ref="F145:F156">D145/B145*100</f>
        <v>99.13513388459066</v>
      </c>
      <c r="G145" s="6">
        <f t="shared" si="18"/>
        <v>60.81264551511859</v>
      </c>
      <c r="H145" s="6">
        <f t="shared" si="19"/>
        <v>2691.600000000093</v>
      </c>
      <c r="I145" s="18">
        <f t="shared" si="20"/>
        <v>198811.40000000002</v>
      </c>
      <c r="K145" s="46"/>
      <c r="L145" s="47"/>
    </row>
    <row r="146" spans="1:12" ht="18.75">
      <c r="A146" s="23" t="s">
        <v>0</v>
      </c>
      <c r="B146" s="68">
        <f>B11+B23+B36+B55+B61+B91+B49+B135+B108+B111+B95+B132</f>
        <v>64425.00000000001</v>
      </c>
      <c r="C146" s="68">
        <f>C11+C23+C36+C55+C61+C91+C49+C135+C108+C111+C95+C132</f>
        <v>99365.7</v>
      </c>
      <c r="D146" s="68">
        <f>D11+D23+D36+D55+D61+D91+D49+D135+D108+D111+D95+D132</f>
        <v>56186.4</v>
      </c>
      <c r="E146" s="6">
        <f>D146/D144*100</f>
        <v>11.074354102444833</v>
      </c>
      <c r="F146" s="6">
        <f t="shared" si="21"/>
        <v>87.21210710128055</v>
      </c>
      <c r="G146" s="6">
        <f t="shared" si="18"/>
        <v>56.54506534951196</v>
      </c>
      <c r="H146" s="6">
        <f t="shared" si="19"/>
        <v>8238.600000000006</v>
      </c>
      <c r="I146" s="18">
        <f t="shared" si="20"/>
        <v>43179.299999999996</v>
      </c>
      <c r="K146" s="46"/>
      <c r="L146" s="102"/>
    </row>
    <row r="147" spans="1:12" ht="18.75">
      <c r="A147" s="23" t="s">
        <v>1</v>
      </c>
      <c r="B147" s="67">
        <f>B22+B10+B54+B48+B60+B35+B102+B122</f>
        <v>14338.1</v>
      </c>
      <c r="C147" s="67">
        <f>C22+C10+C54+C48+C60+C35+C102+C122</f>
        <v>25986.7</v>
      </c>
      <c r="D147" s="67">
        <f>D22+D10+D54+D48+D60+D35+D102+D122</f>
        <v>12320.3</v>
      </c>
      <c r="E147" s="6">
        <f>D147/D144*100</f>
        <v>2.428334345114673</v>
      </c>
      <c r="F147" s="6">
        <f t="shared" si="21"/>
        <v>85.92700567020735</v>
      </c>
      <c r="G147" s="6">
        <f t="shared" si="18"/>
        <v>47.41002128011637</v>
      </c>
      <c r="H147" s="6">
        <f t="shared" si="19"/>
        <v>2017.800000000001</v>
      </c>
      <c r="I147" s="18">
        <f t="shared" si="20"/>
        <v>13666.400000000001</v>
      </c>
      <c r="K147" s="46"/>
      <c r="L147" s="47"/>
    </row>
    <row r="148" spans="1:12" ht="21" customHeight="1">
      <c r="A148" s="23" t="s">
        <v>15</v>
      </c>
      <c r="B148" s="67">
        <f>B12+B24+B103+B62+B38+B92</f>
        <v>8081.799999999999</v>
      </c>
      <c r="C148" s="67">
        <f>C12+C24+C103+C62+C38+C92</f>
        <v>14369.800000000001</v>
      </c>
      <c r="D148" s="67">
        <f>D12+D24+D103+D62+D38+D92</f>
        <v>5005.200000000001</v>
      </c>
      <c r="E148" s="6">
        <f>D148/D144*100</f>
        <v>0.9865262261607235</v>
      </c>
      <c r="F148" s="6">
        <f t="shared" si="21"/>
        <v>61.931747877948</v>
      </c>
      <c r="G148" s="6">
        <f t="shared" si="18"/>
        <v>34.83138248270679</v>
      </c>
      <c r="H148" s="6">
        <f t="shared" si="19"/>
        <v>3076.5999999999985</v>
      </c>
      <c r="I148" s="18">
        <f t="shared" si="20"/>
        <v>9364.6</v>
      </c>
      <c r="K148" s="46"/>
      <c r="L148" s="102"/>
    </row>
    <row r="149" spans="1:12" ht="18.75">
      <c r="A149" s="23" t="s">
        <v>2</v>
      </c>
      <c r="B149" s="67">
        <f>B9+B21+B47+B53+B121</f>
        <v>6946.5</v>
      </c>
      <c r="C149" s="67">
        <f>C9+C21+C47+C53+C121</f>
        <v>12818.7</v>
      </c>
      <c r="D149" s="67">
        <f>D9+D21+D47+D53+D121</f>
        <v>4742.2</v>
      </c>
      <c r="E149" s="6">
        <f>D149/D144*100</f>
        <v>0.9346888575280474</v>
      </c>
      <c r="F149" s="6">
        <f t="shared" si="21"/>
        <v>68.2674728280429</v>
      </c>
      <c r="G149" s="6">
        <f t="shared" si="18"/>
        <v>36.99439100688837</v>
      </c>
      <c r="H149" s="6">
        <f t="shared" si="19"/>
        <v>2204.3</v>
      </c>
      <c r="I149" s="18">
        <f t="shared" si="20"/>
        <v>8076.500000000001</v>
      </c>
      <c r="K149" s="46"/>
      <c r="L149" s="47"/>
    </row>
    <row r="150" spans="1:12" ht="19.5" thickBot="1">
      <c r="A150" s="23" t="s">
        <v>35</v>
      </c>
      <c r="B150" s="67">
        <f>B144-B145-B146-B147-B148-B149</f>
        <v>150478.19999999987</v>
      </c>
      <c r="C150" s="67">
        <f>C144-C145-C146-C147-C148-C149</f>
        <v>236306.1000000001</v>
      </c>
      <c r="D150" s="67">
        <f>D144-D145-D146-D147-D148-D149</f>
        <v>120577.70000000006</v>
      </c>
      <c r="E150" s="6">
        <f>D150/D144*100</f>
        <v>23.765896136046493</v>
      </c>
      <c r="F150" s="6">
        <f t="shared" si="21"/>
        <v>80.12967991376834</v>
      </c>
      <c r="G150" s="43">
        <f t="shared" si="18"/>
        <v>51.02606322900679</v>
      </c>
      <c r="H150" s="6">
        <f t="shared" si="19"/>
        <v>29900.49999999981</v>
      </c>
      <c r="I150" s="6">
        <f t="shared" si="20"/>
        <v>115728.40000000004</v>
      </c>
      <c r="K150" s="46"/>
      <c r="L150" s="102"/>
    </row>
    <row r="151" spans="1:12" ht="5.25" customHeight="1" thickBot="1">
      <c r="A151" s="35"/>
      <c r="B151" s="85"/>
      <c r="C151" s="86"/>
      <c r="D151" s="86"/>
      <c r="E151" s="21"/>
      <c r="F151" s="21"/>
      <c r="G151" s="21"/>
      <c r="H151" s="21"/>
      <c r="I151" s="22"/>
      <c r="K151" s="46"/>
      <c r="L151" s="46"/>
    </row>
    <row r="152" spans="1:12" ht="18.75">
      <c r="A152" s="32" t="s">
        <v>21</v>
      </c>
      <c r="B152" s="87">
        <v>12969.7</v>
      </c>
      <c r="C152" s="73">
        <f>3301.9+496+14356.4</f>
        <v>18154.3</v>
      </c>
      <c r="D152" s="73">
        <f>288.1+1522.4+951.8+530.2+8.8+0.5+0.1+495.9+10.6+101+174.6+2.1+509.4+15+8.4+488.4+154.3+94.8+166.1+65.8+286.9+80.4+239.8</f>
        <v>6195.4</v>
      </c>
      <c r="E152" s="15"/>
      <c r="F152" s="6">
        <f t="shared" si="21"/>
        <v>47.768259867229</v>
      </c>
      <c r="G152" s="6">
        <f aca="true" t="shared" si="22" ref="G152:G161">D152/C152*100</f>
        <v>34.12635023107473</v>
      </c>
      <c r="H152" s="6">
        <f>B152-D152</f>
        <v>6774.300000000001</v>
      </c>
      <c r="I152" s="6">
        <f aca="true" t="shared" si="23" ref="I152:I161">C152-D152</f>
        <v>11958.9</v>
      </c>
      <c r="K152" s="46"/>
      <c r="L152" s="46"/>
    </row>
    <row r="153" spans="1:12" ht="18.75">
      <c r="A153" s="23" t="s">
        <v>22</v>
      </c>
      <c r="B153" s="88">
        <f>10210.3+100+280</f>
        <v>10590.3</v>
      </c>
      <c r="C153" s="67">
        <f>16860.5</f>
        <v>16860.5</v>
      </c>
      <c r="D153" s="67">
        <f>132.1+649.5+498.6+2.9+146.5+119.3+11.1+935+701.6+2.9</f>
        <v>3199.5</v>
      </c>
      <c r="E153" s="6"/>
      <c r="F153" s="6">
        <f t="shared" si="21"/>
        <v>30.211608736296427</v>
      </c>
      <c r="G153" s="6">
        <f t="shared" si="22"/>
        <v>18.976305566264344</v>
      </c>
      <c r="H153" s="6">
        <f aca="true" t="shared" si="24" ref="H153:H160">B153-D153</f>
        <v>7390.799999999999</v>
      </c>
      <c r="I153" s="6">
        <f t="shared" si="23"/>
        <v>13661</v>
      </c>
      <c r="K153" s="46"/>
      <c r="L153" s="46"/>
    </row>
    <row r="154" spans="1:12" ht="18.75">
      <c r="A154" s="23" t="s">
        <v>61</v>
      </c>
      <c r="B154" s="88">
        <f>103951-100-280</f>
        <v>103571</v>
      </c>
      <c r="C154" s="67">
        <f>105956.2+2530+90940.5+959.5</f>
        <v>200386.2</v>
      </c>
      <c r="D154" s="67">
        <f>72+2507+500.9+784.3+577.6+1236.9+2501.8+375+180.7+310.2-4.2+554.9+23.5+182.4+693.6-182.4+595+297.2+620.2+157.1-0.3+15.6+883.3+9.6+10.4+12-13.2+225+914.2+6+75.1+258.4+29.4+440.2+179+162.3+38+25.2+582.5+76.9+1043.4+165.8+451.1+46.2+149.9+933.7+447.6+405.6+21.2+313.7+1048.7-12.3+790.5+152.3+357.4+13.6+796.5+415.9+661.7+328.7</f>
        <v>24444.500000000007</v>
      </c>
      <c r="E154" s="6"/>
      <c r="F154" s="6">
        <f t="shared" si="21"/>
        <v>23.60168386903671</v>
      </c>
      <c r="G154" s="6">
        <f t="shared" si="22"/>
        <v>12.19869432126564</v>
      </c>
      <c r="H154" s="6">
        <f t="shared" si="24"/>
        <v>79126.5</v>
      </c>
      <c r="I154" s="6">
        <f t="shared" si="23"/>
        <v>175941.7</v>
      </c>
      <c r="K154" s="46"/>
      <c r="L154" s="46"/>
    </row>
    <row r="155" spans="1:12" ht="37.5">
      <c r="A155" s="23" t="s">
        <v>70</v>
      </c>
      <c r="B155" s="88">
        <v>309.4</v>
      </c>
      <c r="C155" s="67">
        <v>509.4</v>
      </c>
      <c r="D155" s="67">
        <f>309.4</f>
        <v>309.4</v>
      </c>
      <c r="E155" s="6"/>
      <c r="F155" s="6">
        <f t="shared" si="21"/>
        <v>100</v>
      </c>
      <c r="G155" s="6">
        <f t="shared" si="22"/>
        <v>60.73812328229289</v>
      </c>
      <c r="H155" s="6">
        <f t="shared" si="24"/>
        <v>0</v>
      </c>
      <c r="I155" s="6">
        <f t="shared" si="23"/>
        <v>200</v>
      </c>
      <c r="K155" s="46"/>
      <c r="L155" s="46"/>
    </row>
    <row r="156" spans="1:12" ht="18.75">
      <c r="A156" s="23" t="s">
        <v>13</v>
      </c>
      <c r="B156" s="88">
        <v>10733.5</v>
      </c>
      <c r="C156" s="67">
        <f>54+13623.4</f>
        <v>13677.4</v>
      </c>
      <c r="D156" s="67">
        <f>5.2+5.1+225.1+114.9+40.2+5.2+4.6+89.9+13.6+4.1</f>
        <v>507.9000000000001</v>
      </c>
      <c r="E156" s="19"/>
      <c r="F156" s="6">
        <f t="shared" si="21"/>
        <v>4.731914100712722</v>
      </c>
      <c r="G156" s="6">
        <f t="shared" si="22"/>
        <v>3.713425066167547</v>
      </c>
      <c r="H156" s="6">
        <f t="shared" si="24"/>
        <v>10225.6</v>
      </c>
      <c r="I156" s="6">
        <f t="shared" si="23"/>
        <v>13169.5</v>
      </c>
      <c r="K156" s="46"/>
      <c r="L156" s="46"/>
    </row>
    <row r="157" spans="1:12" ht="18.75" hidden="1">
      <c r="A157" s="23" t="s">
        <v>26</v>
      </c>
      <c r="B157" s="88"/>
      <c r="C157" s="67"/>
      <c r="D157" s="67"/>
      <c r="E157" s="19"/>
      <c r="F157" s="6" t="e">
        <f>D157/B157*100</f>
        <v>#DIV/0!</v>
      </c>
      <c r="G157" s="6" t="e">
        <f t="shared" si="22"/>
        <v>#DIV/0!</v>
      </c>
      <c r="H157" s="6">
        <f t="shared" si="24"/>
        <v>0</v>
      </c>
      <c r="I157" s="6">
        <f t="shared" si="23"/>
        <v>0</v>
      </c>
      <c r="K157" s="46"/>
      <c r="L157" s="46"/>
    </row>
    <row r="158" spans="1:9" ht="18.75">
      <c r="A158" s="23" t="s">
        <v>53</v>
      </c>
      <c r="B158" s="88">
        <v>826.6</v>
      </c>
      <c r="C158" s="67">
        <f>1212+158.6</f>
        <v>1370.6</v>
      </c>
      <c r="D158" s="67">
        <f>15.4+25.9+416.9+18.7+17.6</f>
        <v>494.5</v>
      </c>
      <c r="E158" s="19"/>
      <c r="F158" s="6">
        <f>D158/B158*100</f>
        <v>59.823372852649406</v>
      </c>
      <c r="G158" s="6">
        <f t="shared" si="22"/>
        <v>36.079089449875966</v>
      </c>
      <c r="H158" s="6">
        <f t="shared" si="24"/>
        <v>332.1</v>
      </c>
      <c r="I158" s="6">
        <f t="shared" si="23"/>
        <v>876.0999999999999</v>
      </c>
    </row>
    <row r="159" spans="1:9" ht="19.5" customHeight="1">
      <c r="A159" s="23" t="s">
        <v>68</v>
      </c>
      <c r="B159" s="88">
        <v>307.6</v>
      </c>
      <c r="C159" s="67">
        <v>307.6</v>
      </c>
      <c r="D159" s="67"/>
      <c r="E159" s="19"/>
      <c r="F159" s="6">
        <f>D159/B159*100</f>
        <v>0</v>
      </c>
      <c r="G159" s="6">
        <f t="shared" si="22"/>
        <v>0</v>
      </c>
      <c r="H159" s="6">
        <f t="shared" si="24"/>
        <v>307.6</v>
      </c>
      <c r="I159" s="6">
        <f t="shared" si="23"/>
        <v>307.6</v>
      </c>
    </row>
    <row r="160" spans="1:9" ht="19.5" thickBot="1">
      <c r="A160" s="23" t="s">
        <v>62</v>
      </c>
      <c r="B160" s="88">
        <v>3718.8</v>
      </c>
      <c r="C160" s="89">
        <v>3718.8</v>
      </c>
      <c r="D160" s="89">
        <f>98.8+11.3+146.1+110.9-0.1+10.1+85.3+20.5+418+104.6+257.6+46.9+315.7+1.5+1.4+47.1+128.3+440+24.2+62.6</f>
        <v>2330.7999999999997</v>
      </c>
      <c r="E160" s="24"/>
      <c r="F160" s="6">
        <f>D160/B160*100</f>
        <v>62.67613208561901</v>
      </c>
      <c r="G160" s="6">
        <f t="shared" si="22"/>
        <v>62.67613208561901</v>
      </c>
      <c r="H160" s="6">
        <f t="shared" si="24"/>
        <v>1388.0000000000005</v>
      </c>
      <c r="I160" s="6">
        <f t="shared" si="23"/>
        <v>1388.0000000000005</v>
      </c>
    </row>
    <row r="161" spans="1:9" ht="19.5" thickBot="1">
      <c r="A161" s="14" t="s">
        <v>20</v>
      </c>
      <c r="B161" s="90">
        <f>B144+B152+B156+B157+B153+B160+B159+B154+B158+B155</f>
        <v>698512.2999999999</v>
      </c>
      <c r="C161" s="90">
        <f>C144+C152+C156+C157+C153+C160+C159+C154+C158+C155</f>
        <v>1151167.4000000001</v>
      </c>
      <c r="D161" s="90">
        <f>D144+D152+D156+D157+D153+D160+D159+D154+D158+D155</f>
        <v>544838.0000000001</v>
      </c>
      <c r="E161" s="25"/>
      <c r="F161" s="3">
        <f>D161/B161*100</f>
        <v>77.99977180072565</v>
      </c>
      <c r="G161" s="3">
        <f t="shared" si="22"/>
        <v>47.32917210824421</v>
      </c>
      <c r="H161" s="3">
        <f>B161-D161</f>
        <v>153674.2999999998</v>
      </c>
      <c r="I161" s="3">
        <f t="shared" si="23"/>
        <v>606329.4</v>
      </c>
    </row>
    <row r="162" spans="7:8" ht="12.75">
      <c r="G162" s="26"/>
      <c r="H162" s="26"/>
    </row>
    <row r="163" spans="7:9" ht="12.75">
      <c r="G163" s="26"/>
      <c r="H163" s="26"/>
      <c r="I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0" sqref="R20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896182.6000000001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507356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9" sqref="Q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8" sqref="R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R21" sqref="R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19" sqref="R19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18" sqref="Q18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896182.6000000001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507356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2015-07-21T06:12:08Z</cp:lastPrinted>
  <dcterms:created xsi:type="dcterms:W3CDTF">2000-06-20T04:48:00Z</dcterms:created>
  <dcterms:modified xsi:type="dcterms:W3CDTF">2015-07-30T05:05:03Z</dcterms:modified>
  <cp:category/>
  <cp:version/>
  <cp:contentType/>
  <cp:contentStatus/>
</cp:coreProperties>
</file>